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https://indiana-my.sharepoint.com/personal/niventur_iu_edu/Documents/"/>
    </mc:Choice>
  </mc:AlternateContent>
  <xr:revisionPtr revIDLastSave="1050" documentId="8_{076FFF75-CC5A-4FAA-BAF7-7D6369BAA64E}" xr6:coauthVersionLast="47" xr6:coauthVersionMax="47" xr10:uidLastSave="{DFA6B461-A9E1-4A07-94CE-AEFA9C1553AE}"/>
  <bookViews>
    <workbookView xWindow="-110" yWindow="-110" windowWidth="22620" windowHeight="13500" firstSheet="5" activeTab="8" xr2:uid="{5E6DF5D1-1F7A-4BCF-84B3-179C25FC4C19}"/>
  </bookViews>
  <sheets>
    <sheet name="Intro" sheetId="1" r:id="rId1"/>
    <sheet name="Op Model &gt;&gt;" sheetId="2" r:id="rId2"/>
    <sheet name="Income Statement" sheetId="3" r:id="rId3"/>
    <sheet name="Balance Sheet" sheetId="4" r:id="rId4"/>
    <sheet name="Statement of Cash Flows" sheetId="5" r:id="rId5"/>
    <sheet name="Debt Schedule" sheetId="6" r:id="rId6"/>
    <sheet name="Asset Schedule" sheetId="8" r:id="rId7"/>
    <sheet name="DCF&gt;&gt;&gt;" sheetId="10" r:id="rId8"/>
    <sheet name="DCF Valuation" sheetId="9" r:id="rId9"/>
    <sheet name="Competitors" sheetId="11" r:id="rId10"/>
  </sheets>
  <calcPr calcId="191028" calcMode="autoNoTable" iterate="1" iterateCount="1000" iterateDelta="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0" i="9" l="1"/>
  <c r="G48" i="9"/>
  <c r="Y39" i="9"/>
  <c r="X39" i="9" s="1"/>
  <c r="W39" i="9" s="1"/>
  <c r="H18" i="9"/>
  <c r="I18" i="9"/>
  <c r="J18" i="9"/>
  <c r="K18" i="9"/>
  <c r="G18" i="9"/>
  <c r="H17" i="9"/>
  <c r="I17" i="9"/>
  <c r="J17" i="9"/>
  <c r="K17" i="9"/>
  <c r="G17" i="9"/>
  <c r="P25" i="9"/>
  <c r="P24" i="9"/>
  <c r="P14" i="9"/>
  <c r="P16" i="9" s="1"/>
  <c r="P12" i="9"/>
  <c r="D55" i="9"/>
  <c r="Y9" i="9"/>
  <c r="Z9" i="9" s="1"/>
  <c r="AA9" i="9" s="1"/>
  <c r="Y29" i="9"/>
  <c r="Z29" i="9" s="1"/>
  <c r="AA29" i="9" s="1"/>
  <c r="Y19" i="9"/>
  <c r="Z19" i="9" s="1"/>
  <c r="AA19" i="9" s="1"/>
  <c r="Q8" i="11"/>
  <c r="Q9" i="11"/>
  <c r="Q10" i="11"/>
  <c r="Q11" i="11"/>
  <c r="Q12" i="11"/>
  <c r="Q7" i="11"/>
  <c r="Q14" i="11" s="1"/>
  <c r="D14" i="11"/>
  <c r="E14" i="11"/>
  <c r="F14" i="11"/>
  <c r="G14" i="11"/>
  <c r="H14" i="11"/>
  <c r="I14" i="11"/>
  <c r="J14" i="11"/>
  <c r="K14" i="11"/>
  <c r="L14" i="11"/>
  <c r="M14" i="11"/>
  <c r="N14" i="11"/>
  <c r="O14" i="11"/>
  <c r="P14" i="11"/>
  <c r="C14" i="11"/>
  <c r="D13" i="11"/>
  <c r="E13" i="11"/>
  <c r="F13" i="11"/>
  <c r="G13" i="11"/>
  <c r="H13" i="11"/>
  <c r="I13" i="11"/>
  <c r="J13" i="11"/>
  <c r="K13" i="11"/>
  <c r="L13" i="11"/>
  <c r="M13" i="11"/>
  <c r="N13" i="11"/>
  <c r="O13" i="11"/>
  <c r="P13" i="11"/>
  <c r="Q13" i="11"/>
  <c r="C13" i="11"/>
  <c r="M12" i="11"/>
  <c r="M11" i="11"/>
  <c r="L11" i="11"/>
  <c r="L12" i="11"/>
  <c r="K11" i="11"/>
  <c r="K12" i="11"/>
  <c r="J12" i="11"/>
  <c r="J11" i="11"/>
  <c r="M9" i="11"/>
  <c r="L9" i="11"/>
  <c r="K9" i="11"/>
  <c r="J9" i="11"/>
  <c r="M10" i="11"/>
  <c r="L10" i="11"/>
  <c r="K10" i="11"/>
  <c r="J10" i="11"/>
  <c r="M8" i="11"/>
  <c r="L8" i="11"/>
  <c r="K8" i="11"/>
  <c r="J8" i="11"/>
  <c r="M7" i="11"/>
  <c r="L7" i="11"/>
  <c r="K7" i="11"/>
  <c r="J7" i="11"/>
  <c r="D57" i="9"/>
  <c r="S30" i="9"/>
  <c r="S25" i="9"/>
  <c r="S26" i="9"/>
  <c r="S27" i="9"/>
  <c r="S24" i="9"/>
  <c r="D49" i="9"/>
  <c r="G58" i="9"/>
  <c r="D50" i="9" s="1"/>
  <c r="G52" i="9"/>
  <c r="G51" i="9"/>
  <c r="H21" i="9"/>
  <c r="I21" i="9"/>
  <c r="J21" i="9"/>
  <c r="K21" i="9"/>
  <c r="G21" i="9"/>
  <c r="H22" i="9"/>
  <c r="I22" i="9"/>
  <c r="J22" i="9"/>
  <c r="K22" i="9"/>
  <c r="G22" i="9"/>
  <c r="H45" i="9"/>
  <c r="I45" i="9"/>
  <c r="J45" i="9"/>
  <c r="K45" i="9"/>
  <c r="G45" i="9"/>
  <c r="G44" i="9"/>
  <c r="H44" i="9"/>
  <c r="I44" i="9"/>
  <c r="J44" i="9"/>
  <c r="K44" i="9"/>
  <c r="F44" i="9"/>
  <c r="G42" i="9"/>
  <c r="H42" i="9"/>
  <c r="I42" i="9"/>
  <c r="J42" i="9"/>
  <c r="K42" i="9"/>
  <c r="F42" i="9"/>
  <c r="G39" i="9"/>
  <c r="H39" i="9"/>
  <c r="I39" i="9"/>
  <c r="J39" i="9"/>
  <c r="K39" i="9"/>
  <c r="G40" i="9"/>
  <c r="H40" i="9"/>
  <c r="I40" i="9"/>
  <c r="J40" i="9"/>
  <c r="K40" i="9"/>
  <c r="G41" i="9"/>
  <c r="H41" i="9"/>
  <c r="I41" i="9"/>
  <c r="J41" i="9"/>
  <c r="K41" i="9"/>
  <c r="F40" i="9"/>
  <c r="F41" i="9"/>
  <c r="F39" i="9"/>
  <c r="H20" i="9"/>
  <c r="I20" i="9"/>
  <c r="J20" i="9"/>
  <c r="K20" i="9"/>
  <c r="G20" i="9"/>
  <c r="H15" i="9"/>
  <c r="I15" i="9"/>
  <c r="J15" i="9"/>
  <c r="K15" i="9"/>
  <c r="G15" i="9"/>
  <c r="H14" i="9"/>
  <c r="I14" i="9"/>
  <c r="J14" i="9"/>
  <c r="K14" i="9"/>
  <c r="G14" i="9"/>
  <c r="H12" i="9"/>
  <c r="I12" i="9"/>
  <c r="J12" i="9"/>
  <c r="K12" i="9"/>
  <c r="G12" i="9"/>
  <c r="H10" i="9"/>
  <c r="I10" i="9"/>
  <c r="J10" i="9"/>
  <c r="K10" i="9"/>
  <c r="G10" i="9"/>
  <c r="F37" i="9"/>
  <c r="G37" i="9"/>
  <c r="H37" i="9"/>
  <c r="I37" i="9"/>
  <c r="J37" i="9"/>
  <c r="K37" i="9"/>
  <c r="F32" i="9"/>
  <c r="G32" i="9"/>
  <c r="H32" i="9"/>
  <c r="I32" i="9"/>
  <c r="J32" i="9"/>
  <c r="K32" i="9"/>
  <c r="F33" i="9"/>
  <c r="G33" i="9"/>
  <c r="H33" i="9"/>
  <c r="I33" i="9"/>
  <c r="J33" i="9"/>
  <c r="K33" i="9"/>
  <c r="F34" i="9"/>
  <c r="G34" i="9"/>
  <c r="H34" i="9"/>
  <c r="I34" i="9"/>
  <c r="J34" i="9"/>
  <c r="K34" i="9"/>
  <c r="F35" i="9"/>
  <c r="G35" i="9"/>
  <c r="H35" i="9"/>
  <c r="I35" i="9"/>
  <c r="J35" i="9"/>
  <c r="K35" i="9"/>
  <c r="F36" i="9"/>
  <c r="G36" i="9"/>
  <c r="H36" i="9"/>
  <c r="I36" i="9"/>
  <c r="J36" i="9"/>
  <c r="K36" i="9"/>
  <c r="H11" i="9"/>
  <c r="I11" i="9"/>
  <c r="J11" i="9"/>
  <c r="K11" i="9"/>
  <c r="G11" i="9"/>
  <c r="G8" i="9"/>
  <c r="H8" i="9"/>
  <c r="I8" i="9"/>
  <c r="J8" i="9"/>
  <c r="K8" i="9"/>
  <c r="G7" i="9"/>
  <c r="H7" i="9"/>
  <c r="I7" i="9"/>
  <c r="J7" i="9"/>
  <c r="K7" i="9"/>
  <c r="G6" i="9"/>
  <c r="H6" i="9"/>
  <c r="I6" i="9"/>
  <c r="J6" i="9"/>
  <c r="K6" i="9"/>
  <c r="D28" i="1"/>
  <c r="X29" i="9" l="1"/>
  <c r="W29" i="9" s="1"/>
  <c r="X9" i="9"/>
  <c r="W9" i="9" s="1"/>
  <c r="Z39" i="9"/>
  <c r="AA39" i="9" s="1"/>
  <c r="X19" i="9"/>
  <c r="W19" i="9" s="1"/>
  <c r="D56" i="9"/>
  <c r="G69" i="6"/>
  <c r="G8" i="6"/>
  <c r="G63" i="6"/>
  <c r="D58" i="9" l="1"/>
  <c r="D48" i="9" s="1"/>
  <c r="D51" i="9" s="1"/>
  <c r="S14" i="9" s="1"/>
  <c r="Q15" i="11"/>
  <c r="H25" i="9"/>
  <c r="I25" i="9"/>
  <c r="J25" i="9"/>
  <c r="K25" i="9"/>
  <c r="G25" i="9"/>
  <c r="G30" i="6"/>
  <c r="F17" i="3"/>
  <c r="C57" i="6"/>
  <c r="C24" i="6"/>
  <c r="C39" i="6" s="1"/>
  <c r="H63" i="6"/>
  <c r="I63" i="6" s="1"/>
  <c r="J63" i="6" s="1"/>
  <c r="C41" i="6"/>
  <c r="G91" i="6"/>
  <c r="H91" i="6" s="1"/>
  <c r="I91" i="6" s="1"/>
  <c r="J91" i="6" s="1"/>
  <c r="K91" i="6" s="1"/>
  <c r="B1" i="11"/>
  <c r="B1" i="9"/>
  <c r="G90" i="6"/>
  <c r="F38" i="4"/>
  <c r="F36" i="4"/>
  <c r="F35" i="4"/>
  <c r="F32" i="4"/>
  <c r="F31" i="4"/>
  <c r="F11" i="4"/>
  <c r="C24" i="8"/>
  <c r="C23" i="8"/>
  <c r="C15" i="8"/>
  <c r="D13" i="8"/>
  <c r="D15" i="8" s="1"/>
  <c r="H106" i="6"/>
  <c r="I106" i="6" s="1"/>
  <c r="J106" i="6" s="1"/>
  <c r="K106" i="6" s="1"/>
  <c r="G79" i="6"/>
  <c r="P15" i="9" l="1"/>
  <c r="S16" i="9"/>
  <c r="V42" i="9"/>
  <c r="V32" i="9"/>
  <c r="V22" i="9"/>
  <c r="V12" i="9"/>
  <c r="H79" i="6"/>
  <c r="I79" i="6" s="1"/>
  <c r="J79" i="6" s="1"/>
  <c r="V11" i="9" l="1"/>
  <c r="V10" i="9" s="1"/>
  <c r="V13" i="9"/>
  <c r="V14" i="9" s="1"/>
  <c r="V23" i="9"/>
  <c r="V24" i="9" s="1"/>
  <c r="V21" i="9"/>
  <c r="V20" i="9" s="1"/>
  <c r="V31" i="9"/>
  <c r="V30" i="9" s="1"/>
  <c r="V33" i="9"/>
  <c r="V34" i="9" s="1"/>
  <c r="V43" i="9"/>
  <c r="V44" i="9" s="1"/>
  <c r="V41" i="9"/>
  <c r="V40" i="9" s="1"/>
  <c r="C8" i="4"/>
  <c r="D8" i="4"/>
  <c r="C32" i="3"/>
  <c r="D32" i="3"/>
  <c r="E32" i="3"/>
  <c r="G67" i="6"/>
  <c r="G97" i="6" s="1"/>
  <c r="F33" i="5" s="1"/>
  <c r="H67" i="6"/>
  <c r="H97" i="6" s="1"/>
  <c r="G33" i="5" s="1"/>
  <c r="I67" i="6"/>
  <c r="I97" i="6" s="1"/>
  <c r="H33" i="5" s="1"/>
  <c r="J67" i="6"/>
  <c r="J97" i="6" s="1"/>
  <c r="I33" i="5" s="1"/>
  <c r="K67" i="6"/>
  <c r="K97" i="6" s="1"/>
  <c r="J33" i="5" s="1"/>
  <c r="F18" i="4"/>
  <c r="G18" i="4" s="1"/>
  <c r="H18" i="4" s="1"/>
  <c r="I18" i="4" s="1"/>
  <c r="J18" i="4" s="1"/>
  <c r="G7" i="6"/>
  <c r="D23" i="8"/>
  <c r="F23" i="8" s="1"/>
  <c r="E34" i="3"/>
  <c r="F13" i="8"/>
  <c r="D24" i="8"/>
  <c r="F24" i="8" s="1"/>
  <c r="E13" i="8"/>
  <c r="E15" i="8" s="1"/>
  <c r="E24" i="8" s="1"/>
  <c r="D21" i="8"/>
  <c r="E21" i="8"/>
  <c r="C21" i="8"/>
  <c r="D20" i="8"/>
  <c r="E20" i="8"/>
  <c r="C20" i="8"/>
  <c r="F20" i="8" s="1"/>
  <c r="D11" i="8"/>
  <c r="D10" i="8" s="1"/>
  <c r="D22" i="8" s="1"/>
  <c r="E11" i="8"/>
  <c r="E10" i="8" s="1"/>
  <c r="E22" i="8" s="1"/>
  <c r="C11" i="8"/>
  <c r="C10" i="8" s="1"/>
  <c r="C22" i="8" s="1"/>
  <c r="F38" i="5"/>
  <c r="D75" i="4"/>
  <c r="E75" i="4"/>
  <c r="F75" i="4" s="1"/>
  <c r="C75" i="4"/>
  <c r="D65" i="4"/>
  <c r="E65" i="4"/>
  <c r="F65" i="4" s="1"/>
  <c r="G65" i="4" s="1"/>
  <c r="C65" i="4"/>
  <c r="F49" i="4"/>
  <c r="G49" i="4" s="1"/>
  <c r="H49" i="4" s="1"/>
  <c r="I49" i="4" s="1"/>
  <c r="J49" i="4" s="1"/>
  <c r="F47" i="4"/>
  <c r="G47" i="4" s="1"/>
  <c r="H47" i="4" s="1"/>
  <c r="I47" i="4" s="1"/>
  <c r="J47" i="4" s="1"/>
  <c r="F45" i="4"/>
  <c r="G45" i="4" s="1"/>
  <c r="H45" i="4" s="1"/>
  <c r="I45" i="4" s="1"/>
  <c r="J45" i="4" s="1"/>
  <c r="G31" i="4"/>
  <c r="H31" i="4" s="1"/>
  <c r="F77" i="4"/>
  <c r="G77" i="4" s="1"/>
  <c r="D60" i="4"/>
  <c r="E60" i="4"/>
  <c r="D61" i="4"/>
  <c r="E61" i="4"/>
  <c r="D62" i="4"/>
  <c r="E62" i="4"/>
  <c r="F62" i="4" s="1"/>
  <c r="D63" i="4"/>
  <c r="E63" i="4"/>
  <c r="F63" i="4" s="1"/>
  <c r="D64" i="4"/>
  <c r="E64" i="4"/>
  <c r="D66" i="4"/>
  <c r="E66" i="4"/>
  <c r="F66" i="4" s="1"/>
  <c r="D67" i="4"/>
  <c r="E67" i="4"/>
  <c r="F67" i="4" s="1"/>
  <c r="G67" i="4" s="1"/>
  <c r="D68" i="4"/>
  <c r="E68" i="4"/>
  <c r="D71" i="4"/>
  <c r="E71" i="4"/>
  <c r="D72" i="4"/>
  <c r="E72" i="4"/>
  <c r="D73" i="4"/>
  <c r="E73" i="4"/>
  <c r="D74" i="4"/>
  <c r="E74" i="4"/>
  <c r="F74" i="4" s="1"/>
  <c r="G74" i="4" s="1"/>
  <c r="D76" i="4"/>
  <c r="E76" i="4"/>
  <c r="F76" i="4" s="1"/>
  <c r="G76" i="4" s="1"/>
  <c r="D77" i="4"/>
  <c r="E77" i="4"/>
  <c r="D78" i="4"/>
  <c r="E78" i="4"/>
  <c r="C78" i="4"/>
  <c r="C77" i="4"/>
  <c r="C76" i="4"/>
  <c r="B1" i="8"/>
  <c r="C74" i="4"/>
  <c r="C73" i="4"/>
  <c r="C72" i="4"/>
  <c r="J72" i="4" s="1"/>
  <c r="C71" i="4"/>
  <c r="C68" i="4"/>
  <c r="C67" i="4"/>
  <c r="C66" i="4"/>
  <c r="C64" i="4"/>
  <c r="C63" i="4"/>
  <c r="C62" i="4"/>
  <c r="G32" i="3" l="1"/>
  <c r="F78" i="4"/>
  <c r="G78" i="4"/>
  <c r="J68" i="4"/>
  <c r="H32" i="3"/>
  <c r="F32" i="3"/>
  <c r="H71" i="4"/>
  <c r="F72" i="4"/>
  <c r="H64" i="4"/>
  <c r="F68" i="4"/>
  <c r="J32" i="3"/>
  <c r="F73" i="4"/>
  <c r="F71" i="4"/>
  <c r="I32" i="3"/>
  <c r="H66" i="6"/>
  <c r="H68" i="6" s="1"/>
  <c r="G68" i="6"/>
  <c r="F21" i="8"/>
  <c r="G21" i="8" s="1"/>
  <c r="H21" i="8" s="1"/>
  <c r="I21" i="8" s="1"/>
  <c r="J21" i="8" s="1"/>
  <c r="I71" i="4"/>
  <c r="J71" i="4"/>
  <c r="F64" i="4"/>
  <c r="G71" i="4"/>
  <c r="G72" i="4"/>
  <c r="H72" i="4"/>
  <c r="J78" i="4"/>
  <c r="H78" i="4"/>
  <c r="I73" i="4"/>
  <c r="I72" i="4"/>
  <c r="H74" i="4"/>
  <c r="G32" i="4"/>
  <c r="H77" i="4"/>
  <c r="G38" i="4"/>
  <c r="G66" i="4"/>
  <c r="F20" i="4"/>
  <c r="H67" i="4"/>
  <c r="G21" i="4"/>
  <c r="H76" i="4"/>
  <c r="G36" i="4"/>
  <c r="H65" i="4"/>
  <c r="G19" i="4"/>
  <c r="F12" i="4"/>
  <c r="G63" i="4"/>
  <c r="G62" i="4"/>
  <c r="G73" i="4"/>
  <c r="H73" i="4"/>
  <c r="F21" i="4"/>
  <c r="J73" i="4"/>
  <c r="G64" i="4"/>
  <c r="G75" i="4"/>
  <c r="I64" i="4"/>
  <c r="J64" i="4"/>
  <c r="I78" i="4"/>
  <c r="H68" i="4"/>
  <c r="I68" i="4"/>
  <c r="F19" i="4"/>
  <c r="G68" i="4"/>
  <c r="J20" i="8"/>
  <c r="I20" i="8"/>
  <c r="H20" i="8"/>
  <c r="G20" i="8"/>
  <c r="G22" i="8"/>
  <c r="F22" i="8"/>
  <c r="H22" i="8"/>
  <c r="I22" i="8"/>
  <c r="J22" i="8"/>
  <c r="F7" i="8"/>
  <c r="E23" i="8"/>
  <c r="H23" i="8" s="1"/>
  <c r="I24" i="8"/>
  <c r="G24" i="8"/>
  <c r="J24" i="8"/>
  <c r="F15" i="8"/>
  <c r="F28" i="5" s="1"/>
  <c r="H24" i="8"/>
  <c r="F14" i="8"/>
  <c r="F16" i="8" s="1"/>
  <c r="I23" i="8"/>
  <c r="G23" i="8"/>
  <c r="I31" i="4"/>
  <c r="I66" i="6" l="1"/>
  <c r="J66" i="6" s="1"/>
  <c r="F9" i="8"/>
  <c r="F14" i="5"/>
  <c r="I67" i="4"/>
  <c r="H21" i="4"/>
  <c r="H75" i="4"/>
  <c r="G35" i="4"/>
  <c r="F13" i="5"/>
  <c r="H63" i="4"/>
  <c r="G12" i="4"/>
  <c r="I76" i="4"/>
  <c r="H36" i="4"/>
  <c r="H62" i="4"/>
  <c r="G11" i="4"/>
  <c r="H19" i="4"/>
  <c r="I65" i="4"/>
  <c r="I74" i="4"/>
  <c r="H32" i="4"/>
  <c r="F8" i="8"/>
  <c r="F8" i="5" s="1"/>
  <c r="F10" i="8"/>
  <c r="F27" i="5" s="1"/>
  <c r="H66" i="4"/>
  <c r="G20" i="4"/>
  <c r="I77" i="4"/>
  <c r="H38" i="4"/>
  <c r="J23" i="8"/>
  <c r="F9" i="5"/>
  <c r="F26" i="5"/>
  <c r="J31" i="4"/>
  <c r="I68" i="6" l="1"/>
  <c r="K66" i="6"/>
  <c r="K68" i="6" s="1"/>
  <c r="J68" i="6"/>
  <c r="F29" i="5"/>
  <c r="G10" i="6" s="1"/>
  <c r="F11" i="8"/>
  <c r="H35" i="4"/>
  <c r="I75" i="4"/>
  <c r="J65" i="4"/>
  <c r="J19" i="4" s="1"/>
  <c r="I19" i="4"/>
  <c r="I62" i="4"/>
  <c r="H11" i="4"/>
  <c r="H13" i="5" s="1"/>
  <c r="J76" i="4"/>
  <c r="J36" i="4" s="1"/>
  <c r="I36" i="4"/>
  <c r="J74" i="4"/>
  <c r="J32" i="4" s="1"/>
  <c r="I32" i="4"/>
  <c r="F10" i="5"/>
  <c r="J77" i="4"/>
  <c r="J38" i="4" s="1"/>
  <c r="I38" i="4"/>
  <c r="G14" i="5"/>
  <c r="I63" i="4"/>
  <c r="H12" i="4"/>
  <c r="G13" i="5"/>
  <c r="J67" i="4"/>
  <c r="J21" i="4" s="1"/>
  <c r="I21" i="4"/>
  <c r="I66" i="4"/>
  <c r="H20" i="4"/>
  <c r="G13" i="8"/>
  <c r="F17" i="4"/>
  <c r="J63" i="4" l="1"/>
  <c r="J12" i="4" s="1"/>
  <c r="I12" i="4"/>
  <c r="J14" i="5" s="1"/>
  <c r="J66" i="4"/>
  <c r="J20" i="4" s="1"/>
  <c r="I20" i="4"/>
  <c r="H14" i="5"/>
  <c r="J62" i="4"/>
  <c r="J11" i="4" s="1"/>
  <c r="I11" i="4"/>
  <c r="I35" i="4"/>
  <c r="J75" i="4"/>
  <c r="J35" i="4" s="1"/>
  <c r="G7" i="8"/>
  <c r="F16" i="4"/>
  <c r="G15" i="8"/>
  <c r="G28" i="5" s="1"/>
  <c r="G14" i="8"/>
  <c r="G9" i="5" s="1"/>
  <c r="I14" i="5" l="1"/>
  <c r="G8" i="8"/>
  <c r="G8" i="5" s="1"/>
  <c r="G10" i="8"/>
  <c r="G27" i="5" s="1"/>
  <c r="G9" i="8"/>
  <c r="J13" i="5"/>
  <c r="I13" i="5"/>
  <c r="G16" i="8"/>
  <c r="G17" i="4"/>
  <c r="H13" i="8"/>
  <c r="G10" i="5" l="1"/>
  <c r="G11" i="8"/>
  <c r="G26" i="5"/>
  <c r="H15" i="8"/>
  <c r="H28" i="5" s="1"/>
  <c r="H14" i="8"/>
  <c r="H9" i="5" s="1"/>
  <c r="G29" i="5" l="1"/>
  <c r="H10" i="6" s="1"/>
  <c r="H16" i="8"/>
  <c r="H17" i="4" s="1"/>
  <c r="G16" i="4"/>
  <c r="H7" i="8"/>
  <c r="I13" i="8" l="1"/>
  <c r="H9" i="8"/>
  <c r="H8" i="8"/>
  <c r="H8" i="5" s="1"/>
  <c r="H10" i="8"/>
  <c r="H27" i="5" s="1"/>
  <c r="I15" i="8"/>
  <c r="I28" i="5" s="1"/>
  <c r="I14" i="8"/>
  <c r="I9" i="5" s="1"/>
  <c r="H10" i="5" l="1"/>
  <c r="H11" i="8"/>
  <c r="H26" i="5"/>
  <c r="I16" i="8"/>
  <c r="J13" i="8" s="1"/>
  <c r="H29" i="5" l="1"/>
  <c r="I10" i="6" s="1"/>
  <c r="I17" i="4"/>
  <c r="I7" i="8"/>
  <c r="H16" i="4"/>
  <c r="J15" i="8"/>
  <c r="J28" i="5" s="1"/>
  <c r="J14" i="8"/>
  <c r="J9" i="5" s="1"/>
  <c r="C61" i="4"/>
  <c r="C60" i="4"/>
  <c r="B1" i="6"/>
  <c r="B1" i="5"/>
  <c r="G92" i="6"/>
  <c r="C50" i="4"/>
  <c r="D40" i="4"/>
  <c r="E40" i="4"/>
  <c r="C40" i="4"/>
  <c r="E14" i="4"/>
  <c r="G78" i="6"/>
  <c r="G80" i="6" s="1"/>
  <c r="G62" i="6"/>
  <c r="D23" i="4"/>
  <c r="E23" i="4"/>
  <c r="C23" i="4"/>
  <c r="G64" i="6" l="1"/>
  <c r="F60" i="4"/>
  <c r="J60" i="4"/>
  <c r="I60" i="4"/>
  <c r="G60" i="4"/>
  <c r="H60" i="4"/>
  <c r="F61" i="4"/>
  <c r="J61" i="4"/>
  <c r="I61" i="4"/>
  <c r="H61" i="4"/>
  <c r="G61" i="4"/>
  <c r="I10" i="8"/>
  <c r="I27" i="5" s="1"/>
  <c r="I8" i="8"/>
  <c r="I8" i="5" s="1"/>
  <c r="I9" i="8"/>
  <c r="J16" i="8"/>
  <c r="J17" i="4" s="1"/>
  <c r="G81" i="6"/>
  <c r="G65" i="6" l="1"/>
  <c r="G11" i="6"/>
  <c r="I10" i="5"/>
  <c r="I11" i="8"/>
  <c r="J7" i="8" s="1"/>
  <c r="I26" i="5"/>
  <c r="G93" i="6"/>
  <c r="H78" i="6"/>
  <c r="H80" i="6" s="1"/>
  <c r="H62" i="6" l="1"/>
  <c r="H64" i="6" s="1"/>
  <c r="I29" i="5"/>
  <c r="J10" i="6" s="1"/>
  <c r="I16" i="4"/>
  <c r="H90" i="6"/>
  <c r="H92" i="6" s="1"/>
  <c r="J10" i="8"/>
  <c r="J27" i="5" s="1"/>
  <c r="J9" i="8"/>
  <c r="J8" i="8"/>
  <c r="J8" i="5" s="1"/>
  <c r="H65" i="6" l="1"/>
  <c r="H69" i="6" s="1"/>
  <c r="H11" i="6"/>
  <c r="J10" i="5"/>
  <c r="J26" i="5"/>
  <c r="J11" i="8"/>
  <c r="J16" i="4" s="1"/>
  <c r="H93" i="6"/>
  <c r="I62" i="6" l="1"/>
  <c r="I64" i="6" s="1"/>
  <c r="I11" i="6" s="1"/>
  <c r="J29" i="5"/>
  <c r="K10" i="6" s="1"/>
  <c r="I90" i="6"/>
  <c r="I92" i="6" s="1"/>
  <c r="I65" i="6" l="1"/>
  <c r="I69" i="6" s="1"/>
  <c r="J62" i="6"/>
  <c r="J64" i="6" s="1"/>
  <c r="J11" i="6" s="1"/>
  <c r="J65" i="6" l="1"/>
  <c r="J69" i="6" s="1"/>
  <c r="J90" i="6"/>
  <c r="J92" i="6" s="1"/>
  <c r="I93" i="6"/>
  <c r="K62" i="6" l="1"/>
  <c r="K63" i="6" l="1"/>
  <c r="K64" i="6" s="1"/>
  <c r="K11" i="6" s="1"/>
  <c r="K90" i="6"/>
  <c r="K92" i="6" s="1"/>
  <c r="J93" i="6"/>
  <c r="K65" i="6" l="1"/>
  <c r="K69" i="6" s="1"/>
  <c r="K93" i="6"/>
  <c r="E50" i="4"/>
  <c r="E33" i="4"/>
  <c r="E42" i="4" s="1"/>
  <c r="E25" i="4"/>
  <c r="D33" i="4"/>
  <c r="D42" i="4" s="1"/>
  <c r="D50" i="4"/>
  <c r="C33" i="4"/>
  <c r="C42" i="4" s="1"/>
  <c r="C52" i="4" s="1"/>
  <c r="D34" i="3"/>
  <c r="B1" i="4"/>
  <c r="F7" i="3"/>
  <c r="G28" i="3"/>
  <c r="D9" i="3"/>
  <c r="E9" i="3"/>
  <c r="G35" i="3"/>
  <c r="H35" i="3" s="1"/>
  <c r="I35" i="3" s="1"/>
  <c r="J35" i="3" s="1"/>
  <c r="D33" i="3"/>
  <c r="E33" i="3"/>
  <c r="C33" i="3"/>
  <c r="F14" i="3" l="1"/>
  <c r="F22" i="4"/>
  <c r="F30" i="4"/>
  <c r="F20" i="5" s="1"/>
  <c r="F9" i="4"/>
  <c r="C14" i="4"/>
  <c r="C25" i="4" s="1"/>
  <c r="C54" i="4" s="1"/>
  <c r="C34" i="3"/>
  <c r="G7" i="3"/>
  <c r="G17" i="3" s="1"/>
  <c r="H28" i="3"/>
  <c r="I28" i="3" s="1"/>
  <c r="J28" i="3" s="1"/>
  <c r="D14" i="4"/>
  <c r="D25" i="4" s="1"/>
  <c r="E52" i="4"/>
  <c r="E54" i="4" s="1"/>
  <c r="D52" i="4"/>
  <c r="H7" i="3" l="1"/>
  <c r="H17" i="3" s="1"/>
  <c r="H14" i="3"/>
  <c r="I8" i="6"/>
  <c r="H30" i="4"/>
  <c r="H22" i="4"/>
  <c r="H9" i="4"/>
  <c r="F16" i="5"/>
  <c r="F23" i="4"/>
  <c r="F11" i="5"/>
  <c r="G14" i="3"/>
  <c r="H8" i="6"/>
  <c r="G22" i="4"/>
  <c r="G16" i="5" s="1"/>
  <c r="G30" i="4"/>
  <c r="G20" i="5" s="1"/>
  <c r="G9" i="4"/>
  <c r="G11" i="5" s="1"/>
  <c r="I34" i="3"/>
  <c r="F34" i="3"/>
  <c r="H34" i="3"/>
  <c r="G34" i="3"/>
  <c r="J34" i="3"/>
  <c r="D54" i="4"/>
  <c r="I7" i="3"/>
  <c r="I17" i="3" s="1"/>
  <c r="H11" i="5" l="1"/>
  <c r="H23" i="4"/>
  <c r="H20" i="5"/>
  <c r="H16" i="5"/>
  <c r="G23" i="4"/>
  <c r="I14" i="3"/>
  <c r="J8" i="6"/>
  <c r="I30" i="4"/>
  <c r="I20" i="5" s="1"/>
  <c r="I22" i="4"/>
  <c r="I16" i="5" s="1"/>
  <c r="I9" i="4"/>
  <c r="J7" i="3"/>
  <c r="J17" i="3" s="1"/>
  <c r="K8" i="6" l="1"/>
  <c r="J22" i="4"/>
  <c r="J23" i="4" s="1"/>
  <c r="J30" i="4"/>
  <c r="J20" i="5" s="1"/>
  <c r="J9" i="4"/>
  <c r="J11" i="5" s="1"/>
  <c r="I11" i="5"/>
  <c r="I23" i="4"/>
  <c r="J14" i="3"/>
  <c r="D30" i="3"/>
  <c r="E30" i="3"/>
  <c r="C30" i="3"/>
  <c r="E28" i="3"/>
  <c r="D28" i="3"/>
  <c r="D12" i="3"/>
  <c r="D31" i="3" s="1"/>
  <c r="E12" i="3"/>
  <c r="E31" i="3" s="1"/>
  <c r="C9" i="3"/>
  <c r="C12" i="3" s="1"/>
  <c r="C31" i="3" s="1"/>
  <c r="B1" i="3"/>
  <c r="B3" i="1"/>
  <c r="J16" i="5" l="1"/>
  <c r="F30" i="3"/>
  <c r="J31" i="3"/>
  <c r="I31" i="3"/>
  <c r="H31" i="3"/>
  <c r="G31" i="3"/>
  <c r="H30" i="3"/>
  <c r="H11" i="3" s="1"/>
  <c r="G30" i="3"/>
  <c r="G11" i="3" s="1"/>
  <c r="F11" i="3"/>
  <c r="J30" i="3"/>
  <c r="J11" i="3" s="1"/>
  <c r="I30" i="3"/>
  <c r="I11" i="3" s="1"/>
  <c r="D29" i="3"/>
  <c r="C18" i="3"/>
  <c r="D18" i="3"/>
  <c r="E29" i="3"/>
  <c r="E18" i="3"/>
  <c r="C29" i="3"/>
  <c r="F29" i="3" l="1"/>
  <c r="F9" i="3" s="1"/>
  <c r="F8" i="3" s="1"/>
  <c r="I29" i="3"/>
  <c r="I9" i="3" s="1"/>
  <c r="I8" i="3" s="1"/>
  <c r="G29" i="3"/>
  <c r="G9" i="3" s="1"/>
  <c r="G8" i="3" s="1"/>
  <c r="H29" i="3"/>
  <c r="H9" i="3" s="1"/>
  <c r="H8" i="3" s="1"/>
  <c r="J29" i="3"/>
  <c r="J9" i="3" s="1"/>
  <c r="J8" i="3" s="1"/>
  <c r="E21" i="3"/>
  <c r="E7" i="5" s="1"/>
  <c r="E35" i="3"/>
  <c r="C21" i="3"/>
  <c r="C7" i="5" s="1"/>
  <c r="C35" i="3"/>
  <c r="D21" i="3"/>
  <c r="D7" i="5" s="1"/>
  <c r="D35" i="3"/>
  <c r="J12" i="3" l="1"/>
  <c r="J29" i="4"/>
  <c r="J13" i="4"/>
  <c r="J39" i="4"/>
  <c r="J28" i="4"/>
  <c r="J10" i="4"/>
  <c r="G39" i="4"/>
  <c r="G29" i="4"/>
  <c r="G28" i="4"/>
  <c r="G13" i="4"/>
  <c r="H15" i="5" s="1"/>
  <c r="G10" i="4"/>
  <c r="H12" i="5" s="1"/>
  <c r="I29" i="4"/>
  <c r="I19" i="5" s="1"/>
  <c r="I13" i="4"/>
  <c r="I28" i="4"/>
  <c r="I39" i="4"/>
  <c r="I10" i="4"/>
  <c r="H29" i="4"/>
  <c r="H13" i="4"/>
  <c r="H39" i="4"/>
  <c r="H28" i="4"/>
  <c r="H33" i="4" s="1"/>
  <c r="H10" i="4"/>
  <c r="F39" i="4"/>
  <c r="F21" i="5" s="1"/>
  <c r="F13" i="4"/>
  <c r="F29" i="4"/>
  <c r="F19" i="5" s="1"/>
  <c r="F28" i="4"/>
  <c r="F10" i="4"/>
  <c r="G12" i="3"/>
  <c r="I12" i="3"/>
  <c r="H12" i="3"/>
  <c r="F12" i="3"/>
  <c r="F31" i="3" s="1"/>
  <c r="I78" i="6"/>
  <c r="I80" i="6" s="1"/>
  <c r="I12" i="5" l="1"/>
  <c r="J21" i="5"/>
  <c r="H21" i="5"/>
  <c r="F18" i="5"/>
  <c r="F33" i="4"/>
  <c r="I15" i="5"/>
  <c r="J15" i="5"/>
  <c r="F15" i="5"/>
  <c r="G15" i="5"/>
  <c r="H18" i="5"/>
  <c r="G18" i="5"/>
  <c r="G33" i="4"/>
  <c r="G19" i="5"/>
  <c r="G21" i="5"/>
  <c r="H19" i="5"/>
  <c r="J18" i="5"/>
  <c r="J33" i="4"/>
  <c r="J12" i="5"/>
  <c r="I21" i="5"/>
  <c r="G12" i="5"/>
  <c r="F12" i="5"/>
  <c r="I18" i="5"/>
  <c r="I33" i="4"/>
  <c r="J19" i="5"/>
  <c r="H81" i="6"/>
  <c r="I81" i="6"/>
  <c r="J78" i="6"/>
  <c r="J80" i="6" s="1"/>
  <c r="H23" i="5" l="1"/>
  <c r="I23" i="5"/>
  <c r="F23" i="5"/>
  <c r="G23" i="5"/>
  <c r="J23" i="5"/>
  <c r="J81" i="6" l="1"/>
  <c r="K78" i="6"/>
  <c r="K79" i="6" l="1"/>
  <c r="K80" i="6" s="1"/>
  <c r="K81" i="6" l="1"/>
  <c r="G23" i="9" l="1"/>
  <c r="G27" i="9" s="1"/>
  <c r="J23" i="9"/>
  <c r="J27" i="9" s="1"/>
  <c r="K23" i="9"/>
  <c r="K27" i="9" s="1"/>
  <c r="H23" i="9"/>
  <c r="H27" i="9" s="1"/>
  <c r="I23" i="9"/>
  <c r="I27" i="9" s="1"/>
  <c r="P17" i="9" l="1"/>
  <c r="P19" i="9" s="1"/>
  <c r="P23" i="9" s="1"/>
  <c r="P28" i="9" s="1"/>
  <c r="P32" i="9" s="1"/>
  <c r="S18" i="9"/>
  <c r="S12" i="9"/>
  <c r="S15" i="9" s="1"/>
  <c r="S17" i="9" s="1"/>
  <c r="S19" i="9" s="1"/>
  <c r="V9" i="9" l="1"/>
  <c r="S23" i="9"/>
  <c r="S28" i="9" s="1"/>
  <c r="S32" i="9" s="1"/>
  <c r="V29" i="9"/>
  <c r="P33" i="9"/>
  <c r="V19" i="9"/>
  <c r="S33" i="9" l="1"/>
  <c r="V39" i="9"/>
  <c r="F8" i="4" l="1"/>
  <c r="G8" i="4"/>
  <c r="H8" i="4"/>
  <c r="I8" i="4"/>
  <c r="J8" i="4"/>
  <c r="F14" i="4"/>
  <c r="G14" i="4"/>
  <c r="H14" i="4"/>
  <c r="I14" i="4"/>
  <c r="J14" i="4"/>
  <c r="F25" i="4"/>
  <c r="G25" i="4"/>
  <c r="H25" i="4"/>
  <c r="I25" i="4"/>
  <c r="J25" i="4"/>
  <c r="F37" i="4"/>
  <c r="G37" i="4"/>
  <c r="H37" i="4"/>
  <c r="I37" i="4"/>
  <c r="J37" i="4"/>
  <c r="F40" i="4"/>
  <c r="G40" i="4"/>
  <c r="H40" i="4"/>
  <c r="I40" i="4"/>
  <c r="J40" i="4"/>
  <c r="F42" i="4"/>
  <c r="G42" i="4"/>
  <c r="H42" i="4"/>
  <c r="I42" i="4"/>
  <c r="J42" i="4"/>
  <c r="F46" i="4"/>
  <c r="G46" i="4"/>
  <c r="H46" i="4"/>
  <c r="I46" i="4"/>
  <c r="J46" i="4"/>
  <c r="F48" i="4"/>
  <c r="G48" i="4"/>
  <c r="H48" i="4"/>
  <c r="I48" i="4"/>
  <c r="J48" i="4"/>
  <c r="F50" i="4"/>
  <c r="G50" i="4"/>
  <c r="H50" i="4"/>
  <c r="I50" i="4"/>
  <c r="J50" i="4"/>
  <c r="F52" i="4"/>
  <c r="G52" i="4"/>
  <c r="H52" i="4"/>
  <c r="I52" i="4"/>
  <c r="J52" i="4"/>
  <c r="F54" i="4"/>
  <c r="G54" i="4"/>
  <c r="H54" i="4"/>
  <c r="I54" i="4"/>
  <c r="J54" i="4"/>
  <c r="H7" i="6"/>
  <c r="I7" i="6"/>
  <c r="J7" i="6"/>
  <c r="K7" i="6"/>
  <c r="G9" i="6"/>
  <c r="H9" i="6"/>
  <c r="I9" i="6"/>
  <c r="J9" i="6"/>
  <c r="K9" i="6"/>
  <c r="G12" i="6"/>
  <c r="H12" i="6"/>
  <c r="I12" i="6"/>
  <c r="J12" i="6"/>
  <c r="K12" i="6"/>
  <c r="H30" i="6"/>
  <c r="I30" i="6"/>
  <c r="J30" i="6"/>
  <c r="K30" i="6"/>
  <c r="G31" i="6"/>
  <c r="H31" i="6"/>
  <c r="I31" i="6"/>
  <c r="J31" i="6"/>
  <c r="K31" i="6"/>
  <c r="G32" i="6"/>
  <c r="H32" i="6"/>
  <c r="I32" i="6"/>
  <c r="J32" i="6"/>
  <c r="K32" i="6"/>
  <c r="G33" i="6"/>
  <c r="H33" i="6"/>
  <c r="I33" i="6"/>
  <c r="J33" i="6"/>
  <c r="K33" i="6"/>
  <c r="G34" i="6"/>
  <c r="H34" i="6"/>
  <c r="I34" i="6"/>
  <c r="J34" i="6"/>
  <c r="K34" i="6"/>
  <c r="H44" i="6"/>
  <c r="I44" i="6"/>
  <c r="J44" i="6"/>
  <c r="K44" i="6"/>
  <c r="G45" i="6"/>
  <c r="H45" i="6"/>
  <c r="I45" i="6"/>
  <c r="J45" i="6"/>
  <c r="K45" i="6"/>
  <c r="G46" i="6"/>
  <c r="H46" i="6"/>
  <c r="I46" i="6"/>
  <c r="J46" i="6"/>
  <c r="K46" i="6"/>
  <c r="G47" i="6"/>
  <c r="H47" i="6"/>
  <c r="I47" i="6"/>
  <c r="J47" i="6"/>
  <c r="K47" i="6"/>
  <c r="G48" i="6"/>
  <c r="H48" i="6"/>
  <c r="I48" i="6"/>
  <c r="J48" i="6"/>
  <c r="K48" i="6"/>
  <c r="G98" i="6"/>
  <c r="H98" i="6"/>
  <c r="I98" i="6"/>
  <c r="J98" i="6"/>
  <c r="K98" i="6"/>
  <c r="G99" i="6"/>
  <c r="H99" i="6"/>
  <c r="I99" i="6"/>
  <c r="J99" i="6"/>
  <c r="K99" i="6"/>
  <c r="G101" i="6"/>
  <c r="H101" i="6"/>
  <c r="I101" i="6"/>
  <c r="J101" i="6"/>
  <c r="K101" i="6"/>
  <c r="G105" i="6"/>
  <c r="H105" i="6"/>
  <c r="I105" i="6"/>
  <c r="J105" i="6"/>
  <c r="K105" i="6"/>
  <c r="G107" i="6"/>
  <c r="H107" i="6"/>
  <c r="I107" i="6"/>
  <c r="J107" i="6"/>
  <c r="K107" i="6"/>
  <c r="G108" i="6"/>
  <c r="H108" i="6"/>
  <c r="I108" i="6"/>
  <c r="J108" i="6"/>
  <c r="K108" i="6"/>
  <c r="F15" i="3"/>
  <c r="G15" i="3"/>
  <c r="H15" i="3"/>
  <c r="I15" i="3"/>
  <c r="J15" i="3"/>
  <c r="F16" i="3"/>
  <c r="G16" i="3"/>
  <c r="H16" i="3"/>
  <c r="I16" i="3"/>
  <c r="J16" i="3"/>
  <c r="F18" i="3"/>
  <c r="G18" i="3"/>
  <c r="H18" i="3"/>
  <c r="I18" i="3"/>
  <c r="J18" i="3"/>
  <c r="F20" i="3"/>
  <c r="G20" i="3"/>
  <c r="H20" i="3"/>
  <c r="I20" i="3"/>
  <c r="J20" i="3"/>
  <c r="F21" i="3"/>
  <c r="G21" i="3"/>
  <c r="H21" i="3"/>
  <c r="I21" i="3"/>
  <c r="J21" i="3"/>
  <c r="F22" i="3"/>
  <c r="G22" i="3"/>
  <c r="H22" i="3"/>
  <c r="I22" i="3"/>
  <c r="J22" i="3"/>
  <c r="F24" i="3"/>
  <c r="G24" i="3"/>
  <c r="H24" i="3"/>
  <c r="I24" i="3"/>
  <c r="J24" i="3"/>
  <c r="F7" i="5"/>
  <c r="G7" i="5"/>
  <c r="H7" i="5"/>
  <c r="I7" i="5"/>
  <c r="J7" i="5"/>
  <c r="F24" i="5"/>
  <c r="G24" i="5"/>
  <c r="H24" i="5"/>
  <c r="I24" i="5"/>
  <c r="J24" i="5"/>
  <c r="F32" i="5"/>
  <c r="G32" i="5"/>
  <c r="H32" i="5"/>
  <c r="I32" i="5"/>
  <c r="J32" i="5"/>
  <c r="F34" i="5"/>
  <c r="G34" i="5"/>
  <c r="H34" i="5"/>
  <c r="I34" i="5"/>
  <c r="J34" i="5"/>
  <c r="F35" i="5"/>
  <c r="G35" i="5"/>
  <c r="H35" i="5"/>
  <c r="I35" i="5"/>
  <c r="J35" i="5"/>
  <c r="F37" i="5"/>
  <c r="G37" i="5"/>
  <c r="H37" i="5"/>
  <c r="I37" i="5"/>
  <c r="J37" i="5"/>
  <c r="G38" i="5"/>
  <c r="H38" i="5"/>
  <c r="I38" i="5"/>
  <c r="J38" i="5"/>
  <c r="F39" i="5"/>
  <c r="G39" i="5"/>
  <c r="H39" i="5"/>
  <c r="I39" i="5"/>
  <c r="J39"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Kalen Mehta</author>
  </authors>
  <commentList>
    <comment ref="B32" authorId="0" shapeId="0" xr:uid="{BE583203-270B-4A8C-9D3F-7E076D17439B}">
      <text>
        <r>
          <rPr>
            <b/>
            <sz val="9"/>
            <color indexed="81"/>
            <rFont val="Tahoma"/>
            <family val="2"/>
          </rPr>
          <t>Kalen Mehta:</t>
        </r>
        <r>
          <rPr>
            <sz val="9"/>
            <color indexed="81"/>
            <rFont val="Tahoma"/>
            <family val="2"/>
          </rPr>
          <t xml:space="preserve">
Gains and Losses from activities not directly related to making and selling footwear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Mark Avila</author>
    <author>Gavin Bresnahan</author>
  </authors>
  <commentList>
    <comment ref="B8" authorId="0" shapeId="0" xr:uid="{81940D7F-5A25-422F-81B3-B44ECCB3D1A7}">
      <text>
        <r>
          <rPr>
            <b/>
            <sz val="9"/>
            <color indexed="81"/>
            <rFont val="Tahoma"/>
            <family val="2"/>
          </rPr>
          <t>Mark Avila:</t>
        </r>
        <r>
          <rPr>
            <sz val="9"/>
            <color indexed="81"/>
            <rFont val="Tahoma"/>
            <family val="2"/>
          </rPr>
          <t xml:space="preserve">
Assumed Minimum Cash Balance was 1% of sales for the respective year</t>
        </r>
      </text>
    </comment>
    <comment ref="C23" authorId="1" shapeId="0" xr:uid="{9355F9BB-F679-4525-9F0F-1CAD0E50412D}">
      <text>
        <r>
          <rPr>
            <b/>
            <sz val="9"/>
            <color indexed="81"/>
            <rFont val="Tahoma"/>
            <family val="2"/>
          </rPr>
          <t>Gavin Bresnahan:</t>
        </r>
        <r>
          <rPr>
            <sz val="9"/>
            <color indexed="81"/>
            <rFont val="Tahoma"/>
            <family val="2"/>
          </rPr>
          <t xml:space="preserve">
Translation: The borrowers pick between the "base rate option" or the "SOFR option." The second paragraph defines the base rate IF the borrower picks the base rate option in which it is the highest of those options. IF the borrower picks SOFR option, the base rate is just SOFR, with the spread being determined by the table on the right based on the leverage ratio which is on the income statement (consolidated EBITDA/debt)
Revolving Credit Interest Rate Options; Swing Loan Interest Rate. The Borrowers shall have the right to select from the following Interest Rate Options applicable to the Revolving Credit Loans:
(i)    Revolving Credit Base Rate Option: A fluctuating rate per annum (computed on the basis of a year of 365 or 366 days, as the case may be, and actual days elapsed) equal to the Base Rate plus the Applicable Margin, such interest rate to change automatically from time to time effective as of the effective date of each change in the Base Rate; or
(ii)    Revolving Credit Term SOFR Rate Option: A rate per annum (computed on the basis of a year of 360 days and actual days elapsed) equal to the Term SOFR Rate as determined for each applicable Interest Period, plus the Applicable Margin.
“Base Rate” shall mean, for any day, a fluctuating per annum rate of interest equal to the highest of (a) the Overnight Bank Funding Rate, plus 0.25%, (b) the Prime Rate, and (c) the Daily Simple SOFR, plus 1.00%, so long as Daily Simple SOFR is offered, ascertainable and not unlawful. Any change in the Base Rate (or any component thereof) shall take effect at the opening of business on the day such change occurs. Interest on the Base Rate borrowings is calculated on a 365 or 366 day basis, as the case may be, and actual days elapsed and is payable quarterly in arrears.</t>
        </r>
      </text>
    </comment>
    <comment ref="C24" authorId="0" shapeId="0" xr:uid="{29734C7C-B666-4F63-B9C4-1BC424541A58}">
      <text>
        <r>
          <rPr>
            <b/>
            <sz val="9"/>
            <color indexed="81"/>
            <rFont val="Tahoma"/>
            <family val="2"/>
          </rPr>
          <t>Mark Avila:</t>
        </r>
        <r>
          <rPr>
            <sz val="9"/>
            <color indexed="81"/>
            <rFont val="Tahoma"/>
            <family val="2"/>
          </rPr>
          <t xml:space="preserve">
Borrowings under the Credit Agreement bear interest at a variable interest
rate based on (A) a Base Rate (defined as the highest of (i) the Overnight Bank Funding Rate (as defined in the Credit Agreement), plus 0.25%, (ii) the Prime
Rate (as defined in the Credit Agreement), and (iii) the Daily Simple SOFR (as defined in the Credit Agreement), plus 1.00%), plus an applicable margin
ranging from 0.25% to 0.875% based on our leverage ratio or 1.35% to 1.975% for the Daily Simple SOFR based on the leverage ratio, inclusive of a 0.10%
SOFR adjustment, or (B) the Term SOFR Rate (as defined in the Credit Agreement), plus an applicable margin ranging from 1.35% to 1.975% based on our
leverage ratio for one-month interest periods and three-month interest periods, inclusive of a 0.10% SOFR adjustment. </t>
        </r>
      </text>
    </comment>
  </commentList>
</comments>
</file>

<file path=xl/sharedStrings.xml><?xml version="1.0" encoding="utf-8"?>
<sst xmlns="http://schemas.openxmlformats.org/spreadsheetml/2006/main" count="376" uniqueCount="271">
  <si>
    <t>Crocs Inc (CROX)</t>
  </si>
  <si>
    <t>For IBN Distribution Only</t>
  </si>
  <si>
    <t>Operating Model - Income Statement</t>
  </si>
  <si>
    <t>(All numbers in $ thousands)</t>
  </si>
  <si>
    <t>Historical</t>
  </si>
  <si>
    <t>Projected</t>
  </si>
  <si>
    <t>Net Revenue</t>
  </si>
  <si>
    <t>COGS</t>
  </si>
  <si>
    <t>Gross Profit</t>
  </si>
  <si>
    <t>SG&amp;A</t>
  </si>
  <si>
    <t>Operating Income</t>
  </si>
  <si>
    <t>Foreign Currency Gains (Losses)</t>
  </si>
  <si>
    <t>Interest Income</t>
  </si>
  <si>
    <t>Interest Expense</t>
  </si>
  <si>
    <t xml:space="preserve">Other income (expense) </t>
  </si>
  <si>
    <t>Earnings Before Taxes (EBT)</t>
  </si>
  <si>
    <t>Income Tax (benefit)</t>
  </si>
  <si>
    <t>Net Income</t>
  </si>
  <si>
    <t>Consolidated EBITDA</t>
  </si>
  <si>
    <t>Diluted EPS</t>
  </si>
  <si>
    <t>Leverage Ratio</t>
  </si>
  <si>
    <t>Income Statement Drivers</t>
  </si>
  <si>
    <t>Step</t>
  </si>
  <si>
    <t>Revenue Growth</t>
  </si>
  <si>
    <t>Gross Margin</t>
  </si>
  <si>
    <t>SG&amp;A (% of Sales)</t>
  </si>
  <si>
    <t>Operating Margin</t>
  </si>
  <si>
    <t>Other Income (% of Sales)</t>
  </si>
  <si>
    <t>Foreign Currency (% of Sales)</t>
  </si>
  <si>
    <t>Interest on Cash</t>
  </si>
  <si>
    <t>Tax Rate</t>
  </si>
  <si>
    <t>Operating Model - Balance Sheet</t>
  </si>
  <si>
    <t>Assets</t>
  </si>
  <si>
    <t>Cash and cash equivalents</t>
  </si>
  <si>
    <t>Accounts receivable</t>
  </si>
  <si>
    <t>Inventories</t>
  </si>
  <si>
    <t>Income taxes receivable</t>
  </si>
  <si>
    <t>Other receivables</t>
  </si>
  <si>
    <t>Prepaid expense &amp; other assets</t>
  </si>
  <si>
    <t>Total Current Assets</t>
  </si>
  <si>
    <t>Property and equipment, net</t>
  </si>
  <si>
    <t>Intagible assets, net</t>
  </si>
  <si>
    <t>Goodwill</t>
  </si>
  <si>
    <t>Deferred tax assets, net</t>
  </si>
  <si>
    <t>Restricted cash</t>
  </si>
  <si>
    <t>Right-of-use assets</t>
  </si>
  <si>
    <t>Other assets</t>
  </si>
  <si>
    <t>Total Non-Current Assets</t>
  </si>
  <si>
    <t>Total Assets</t>
  </si>
  <si>
    <t>Liabilities</t>
  </si>
  <si>
    <t>Accounts payable</t>
  </si>
  <si>
    <t>Accrued expenses</t>
  </si>
  <si>
    <t>Income taxes payable</t>
  </si>
  <si>
    <t>Current borrowings</t>
  </si>
  <si>
    <t>Current operating lease liabilities</t>
  </si>
  <si>
    <t>Total Current Liabilities</t>
  </si>
  <si>
    <t>Deferred tax liabilities, net</t>
  </si>
  <si>
    <t>Long-term income taxes payable</t>
  </si>
  <si>
    <t>Long-term borrowings</t>
  </si>
  <si>
    <t>Long-term operating lease liabilities</t>
  </si>
  <si>
    <t>Other liabilities</t>
  </si>
  <si>
    <t>Total Non-Current Liabilities</t>
  </si>
  <si>
    <t>Total Liabilities</t>
  </si>
  <si>
    <t>Stockholders' Equity</t>
  </si>
  <si>
    <t>Common stock</t>
  </si>
  <si>
    <t>Treasury stock</t>
  </si>
  <si>
    <t>Additional paid-in-capital</t>
  </si>
  <si>
    <t>Retained Earnings</t>
  </si>
  <si>
    <t>Accumulated other comprehensive loss</t>
  </si>
  <si>
    <t>Total Stockholders' Equity</t>
  </si>
  <si>
    <t>Total Liabilities and Stockholders' Equity</t>
  </si>
  <si>
    <t>Balance Check</t>
  </si>
  <si>
    <t>Balance Sheet Drivers</t>
  </si>
  <si>
    <t>Days sales outstanding (DSO)</t>
  </si>
  <si>
    <t>Days inventory held (DIH)</t>
  </si>
  <si>
    <t>Income Tax Receivable</t>
  </si>
  <si>
    <t>Other Receivables</t>
  </si>
  <si>
    <t>Prepaid Expense (% of COGS)</t>
  </si>
  <si>
    <t xml:space="preserve">Deferred Tax Assets </t>
  </si>
  <si>
    <t>Restricted Cash</t>
  </si>
  <si>
    <t>Operating lease right-of-use assets</t>
  </si>
  <si>
    <t>Other assets (% of Sales)</t>
  </si>
  <si>
    <t>Days payable outstanding (DPO)</t>
  </si>
  <si>
    <t>Accrued Expenses (% of COGS)</t>
  </si>
  <si>
    <t>Income Taxes Payable (% of Sales)</t>
  </si>
  <si>
    <t>Current Right-of-use Liabilities</t>
  </si>
  <si>
    <t xml:space="preserve">Deferred Tax Liabilities </t>
  </si>
  <si>
    <t>Long-term incomes taxes payable</t>
  </si>
  <si>
    <t>Long-term right-of-use liabilities</t>
  </si>
  <si>
    <t>Other long-term liabilities (% of COGS)</t>
  </si>
  <si>
    <t>Operating Model - Statement of Cashflows</t>
  </si>
  <si>
    <t>Depreciation</t>
  </si>
  <si>
    <t>Amortization of Intangibles</t>
  </si>
  <si>
    <t>Total Depreciation &amp; Amortization</t>
  </si>
  <si>
    <t>Change in Accounts Receivable, Net</t>
  </si>
  <si>
    <t>Change in Inventories</t>
  </si>
  <si>
    <t>Change in Income Tax Receivable</t>
  </si>
  <si>
    <t>Change in Other Receivables</t>
  </si>
  <si>
    <t>Change in Prepaid Expenses &amp; Other Current Assets</t>
  </si>
  <si>
    <t>Change in Other Assets</t>
  </si>
  <si>
    <t>Change in Accounts Payable</t>
  </si>
  <si>
    <t>Change in Accrued Expenses</t>
  </si>
  <si>
    <t>Change in Income Taxes Payable</t>
  </si>
  <si>
    <t>Change in Other Liabilities</t>
  </si>
  <si>
    <t>Cash from Changes in Net Operating Assets</t>
  </si>
  <si>
    <t>Operating Cash Flows</t>
  </si>
  <si>
    <t>Capital expenditures</t>
  </si>
  <si>
    <t>Disposal of PP&amp;E</t>
  </si>
  <si>
    <t>Intangible Investments</t>
  </si>
  <si>
    <t>Investing Cash Flows</t>
  </si>
  <si>
    <t>Share Repurchases</t>
  </si>
  <si>
    <t>Issuance Cost Amortization</t>
  </si>
  <si>
    <t>Debt repayment</t>
  </si>
  <si>
    <t>Financing cash flows</t>
  </si>
  <si>
    <t>Net change in cash</t>
  </si>
  <si>
    <t>Beginning cash</t>
  </si>
  <si>
    <t>Ending cash</t>
  </si>
  <si>
    <t>Operating Model - Debt Schedule</t>
  </si>
  <si>
    <t>Beginning Cash</t>
  </si>
  <si>
    <t>Adj. for Minimum Cash Balance</t>
  </si>
  <si>
    <t>Operating Cash Flow</t>
  </si>
  <si>
    <t>Investing Cash Flow</t>
  </si>
  <si>
    <t>Mandatory Amortization</t>
  </si>
  <si>
    <t>Cash Available for Financing Activities</t>
  </si>
  <si>
    <t>Minimum Cash Balance (% of Sales)</t>
  </si>
  <si>
    <t>Debt Schedule</t>
  </si>
  <si>
    <t>Forward 3M Term SOFR Curve</t>
  </si>
  <si>
    <t>Revolving Credit Facility</t>
  </si>
  <si>
    <t>SOFR</t>
  </si>
  <si>
    <t>SOFR Spread</t>
  </si>
  <si>
    <t>Interest Rate</t>
  </si>
  <si>
    <t>Maturity</t>
  </si>
  <si>
    <t>Commitment Fee</t>
  </si>
  <si>
    <t>Facility Size</t>
  </si>
  <si>
    <t>Beginning Balance</t>
  </si>
  <si>
    <t>Drawdown/(Repayment)</t>
  </si>
  <si>
    <t>Ending Balance</t>
  </si>
  <si>
    <t>Commitment Fee Expense</t>
  </si>
  <si>
    <t>Asia Revolving Credit Facility</t>
  </si>
  <si>
    <t xml:space="preserve">   Commitment Fee Expense</t>
  </si>
  <si>
    <t>Term Loan B</t>
  </si>
  <si>
    <t>Mandatory Amortization per Quarter</t>
  </si>
  <si>
    <t>Debt Repayment</t>
  </si>
  <si>
    <t>Beginning Unamortized Issuance Costs</t>
  </si>
  <si>
    <t>Issuance Costs Realization</t>
  </si>
  <si>
    <t>Ending Unamortized Issuance Cost</t>
  </si>
  <si>
    <t>2029 Notes</t>
  </si>
  <si>
    <t>Repayment</t>
  </si>
  <si>
    <t>2031 Notes</t>
  </si>
  <si>
    <t xml:space="preserve">Financing Cash Flows </t>
  </si>
  <si>
    <t>Issuance Cost Ammortization</t>
  </si>
  <si>
    <t>Repayments</t>
  </si>
  <si>
    <t>Total Change in Debt</t>
  </si>
  <si>
    <t>Total Interest Expense</t>
  </si>
  <si>
    <t>Share Repurchase Schedule</t>
  </si>
  <si>
    <t>Cash Available for Buybacks</t>
  </si>
  <si>
    <t>Shares Repurchased (% of Cash Available)</t>
  </si>
  <si>
    <t>Total Spent on Shares Repurchases</t>
  </si>
  <si>
    <t>Ending Cash</t>
  </si>
  <si>
    <t>Operating Model - Asset Schedule</t>
  </si>
  <si>
    <t>Net Property, Plant &amp; Equipment, Beginning</t>
  </si>
  <si>
    <t>Less: Depreciation</t>
  </si>
  <si>
    <t>Plus: Consolidated Capital Expenditures</t>
  </si>
  <si>
    <t>(+/-) Acquired/Disposed PP&amp;E</t>
  </si>
  <si>
    <t>Net Property, Plant &amp; Equipment, Ending</t>
  </si>
  <si>
    <t>Net Intangibles, Beginning</t>
  </si>
  <si>
    <t>Less: Amortization</t>
  </si>
  <si>
    <t>Plus: Purchases of Intangibles</t>
  </si>
  <si>
    <t>Net Intangibles Ending</t>
  </si>
  <si>
    <t>Fixed Asset Drivers</t>
  </si>
  <si>
    <t>Depreciation (% of Beginning PP&amp;E)</t>
  </si>
  <si>
    <t>Capex (% of Beginning PP&amp;E)</t>
  </si>
  <si>
    <t>Acquisition (+)/Disposal (-) of PP&amp;E (% of Beginning PP&amp;E)</t>
  </si>
  <si>
    <t>Amortization (% of Beginning Intangibles)</t>
  </si>
  <si>
    <t>Purchases of Intangibles (% of Beginning Intangibles)</t>
  </si>
  <si>
    <t>Discounted Cash Flow Analysis</t>
  </si>
  <si>
    <t>(All numbers in $ millions)</t>
  </si>
  <si>
    <t>Discounted Cash Flow Analysis - Competitors</t>
  </si>
  <si>
    <t>Current Amount Outstanding</t>
  </si>
  <si>
    <t>Name:</t>
  </si>
  <si>
    <t>Revenue</t>
  </si>
  <si>
    <t>(-) Selling, General, and Administrive</t>
  </si>
  <si>
    <t>(+) Depreciation &amp; Amortization</t>
  </si>
  <si>
    <t>EBITDA</t>
  </si>
  <si>
    <t>(-) Depreciation &amp; Amortization</t>
  </si>
  <si>
    <t>EBIT</t>
  </si>
  <si>
    <t>(-) Tax Expense</t>
  </si>
  <si>
    <t>NOPAT</t>
  </si>
  <si>
    <t>(+) Deprecation &amp; Amortization</t>
  </si>
  <si>
    <t>(-) Capex</t>
  </si>
  <si>
    <t>(-) Change in NWC</t>
  </si>
  <si>
    <t>Unlevered Free Cash Flows</t>
  </si>
  <si>
    <t>Discount Factor</t>
  </si>
  <si>
    <t>Present Value of Unlevered Free Cash Flows</t>
  </si>
  <si>
    <t>Net Working Capital Schedule</t>
  </si>
  <si>
    <t>Accounts Receivable, Net</t>
  </si>
  <si>
    <t>Prepaid expenses and other assets</t>
  </si>
  <si>
    <t>Total Non-Cash Bearing Current Assets</t>
  </si>
  <si>
    <t>Accounts Payable</t>
  </si>
  <si>
    <t>Total Non-Interest Bearing Current Liabilities</t>
  </si>
  <si>
    <t>Net Working Capital</t>
  </si>
  <si>
    <t>Change in Net Working Capital</t>
  </si>
  <si>
    <t>WACC Calculation</t>
  </si>
  <si>
    <t>Debt-to-Total Capitalization</t>
  </si>
  <si>
    <t>Post-Tax Cost of Debt</t>
  </si>
  <si>
    <t>Cost of Equity</t>
  </si>
  <si>
    <t>WACC</t>
  </si>
  <si>
    <t>Total Capitalization</t>
  </si>
  <si>
    <t>Stock Price</t>
  </si>
  <si>
    <t>FDSO</t>
  </si>
  <si>
    <t>Market Value of Equity</t>
  </si>
  <si>
    <t>Book Value of Debt</t>
  </si>
  <si>
    <t>Cost of Debt</t>
  </si>
  <si>
    <t>Interest Coverage Ratio</t>
  </si>
  <si>
    <t>Credit-Risk-Spread</t>
  </si>
  <si>
    <t>Risk-Free Rate</t>
  </si>
  <si>
    <t>Levered Beta (5Y)</t>
  </si>
  <si>
    <t>Equity Risk Premium</t>
  </si>
  <si>
    <t>Calculation of Enterprise Value</t>
  </si>
  <si>
    <t>Exit Multiple Method</t>
  </si>
  <si>
    <t>Terminal year EBITDA</t>
  </si>
  <si>
    <t>Exit Multiple</t>
  </si>
  <si>
    <t>Terminal value</t>
  </si>
  <si>
    <t>PV of terminal value</t>
  </si>
  <si>
    <t>Sum of PV of FCF</t>
  </si>
  <si>
    <t>Enterprise Value</t>
  </si>
  <si>
    <t>Perpetuity Growth Method</t>
  </si>
  <si>
    <t>Terminal year growth rate</t>
  </si>
  <si>
    <t>Terminal year FCF</t>
  </si>
  <si>
    <t>Plus: Cash and equivalents</t>
  </si>
  <si>
    <t>Less: Total debt</t>
  </si>
  <si>
    <t>Less: Preferred shares</t>
  </si>
  <si>
    <t>Less: Noncontrolling interest</t>
  </si>
  <si>
    <t>Equity Value</t>
  </si>
  <si>
    <t>Fully diluted shares outstanding</t>
  </si>
  <si>
    <t>Implied share price</t>
  </si>
  <si>
    <t>Implied Upside</t>
  </si>
  <si>
    <t>Calculation of Equity Value</t>
  </si>
  <si>
    <t>Deckers ($DECK)</t>
  </si>
  <si>
    <t>Birkenstock ($BIRK)</t>
  </si>
  <si>
    <t>Sketchers ($SKX)</t>
  </si>
  <si>
    <t>Wolverine World Wide ($WWW)</t>
  </si>
  <si>
    <t>Steven Madden ($SHOO)</t>
  </si>
  <si>
    <t>Grendene SA ($GRND3)</t>
  </si>
  <si>
    <t>Share Price</t>
  </si>
  <si>
    <t>Market Cap</t>
  </si>
  <si>
    <t>EV</t>
  </si>
  <si>
    <t>Sales</t>
  </si>
  <si>
    <t>Levered Beta</t>
  </si>
  <si>
    <t>Total Debt</t>
  </si>
  <si>
    <t>Total Equity</t>
  </si>
  <si>
    <t>Unlevered Beta</t>
  </si>
  <si>
    <t>Average</t>
  </si>
  <si>
    <t>Median</t>
  </si>
  <si>
    <t>Market Data</t>
  </si>
  <si>
    <t>Financial Statistics</t>
  </si>
  <si>
    <t>Valuation</t>
  </si>
  <si>
    <t>Beta Calculation</t>
  </si>
  <si>
    <t>Company</t>
  </si>
  <si>
    <t>WACC vs. Exit Multiple - EV</t>
  </si>
  <si>
    <t>WACC:</t>
  </si>
  <si>
    <t>WACC vs. Exit Multiple - Implied Share Price</t>
  </si>
  <si>
    <t>Sensitivity Analyses</t>
  </si>
  <si>
    <t>WACC vs. Perpetuity Growth Rate - EV</t>
  </si>
  <si>
    <t>Growth Rate</t>
  </si>
  <si>
    <t>WACC vs. Perpetuity Growth Rate - Implied Share Price</t>
  </si>
  <si>
    <t>EV/Sales (x)</t>
  </si>
  <si>
    <t>EV/EBIT (x)</t>
  </si>
  <si>
    <t>EV/EBITDA (x)</t>
  </si>
  <si>
    <t>P/E (x)</t>
  </si>
  <si>
    <t>CROX Unlevered Beta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</si>
</sst>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8" formatCode="&quot;$&quot;#,##0.00_);[Red]\(&quot;$&quot;#,##0.00\)"/>
    <numFmt numFmtId="41" formatCode="_(* #,##0_);_(* \(#,##0\);_(* &quot;-&quot;_);_(@_)"/>
    <numFmt numFmtId="44" formatCode="_(&quot;$&quot;* #,##0.00_);_(&quot;$&quot;* \(#,##0.00\);_(&quot;$&quot;* &quot;-&quot;??_);_(@_)"/>
    <numFmt numFmtId="43" formatCode="_(* #,##0.00_);_(* \(#,##0.00\);_(* &quot;-&quot;??_);_(@_)"/>
    <numFmt numFmtId="164" formatCode="0.0%"/>
    <numFmt numFmtId="165" formatCode="#,##0_);\(#,##0\);\-"/>
    <numFmt numFmtId="166" formatCode="0.0"/>
    <numFmt numFmtId="167" formatCode="0.000%"/>
    <numFmt numFmtId="168" formatCode="#,##0.0_);\(#,##0.0\)"/>
    <numFmt numFmtId="169" formatCode="yyyy"/>
    <numFmt numFmtId="170" formatCode="_(* #,##0_);_(* \(#,##0\);_(* &quot;-&quot;??_);_(@_)"/>
    <numFmt numFmtId="171" formatCode="_(* #,##0.0_);_(* \(#,##0.0\);_(* &quot;-&quot;?_);_(@_)"/>
    <numFmt numFmtId="172" formatCode="&quot;SOFR + 2.25%&quot;"/>
    <numFmt numFmtId="173" formatCode="&quot;SOFR + 1.475%&quot;"/>
    <numFmt numFmtId="174" formatCode="00.00&quot;x&quot;"/>
    <numFmt numFmtId="175" formatCode="_(&quot;$&quot;* #,##0_);_(&quot;$&quot;* \(#,##0\);_(&quot;$&quot;* &quot;-&quot;??_);_(@_)"/>
    <numFmt numFmtId="176" formatCode="0.00&quot;x&quot;"/>
    <numFmt numFmtId="177" formatCode="_(* #,##0.00_);_(* \(#,##0.00\);_(* &quot;-&quot;_);_(@_)"/>
  </numFmts>
  <fonts count="37" x14ac:knownFonts="1">
    <font>
      <sz val="11"/>
      <color theme="1"/>
      <name val="Calibri"/>
      <family val="2"/>
      <scheme val="minor"/>
    </font>
    <font>
      <sz val="11"/>
      <color theme="1"/>
      <name val="Calibri"/>
      <family val="2"/>
      <scheme val="minor"/>
    </font>
    <font>
      <b/>
      <sz val="12"/>
      <color rgb="FFEEECE1"/>
      <name val="Constantia"/>
      <family val="1"/>
    </font>
    <font>
      <i/>
      <sz val="9"/>
      <color rgb="FFEEECE1"/>
      <name val="Constantia"/>
      <family val="1"/>
    </font>
    <font>
      <sz val="10"/>
      <color rgb="FFEEECE1"/>
      <name val="Constantia"/>
      <family val="1"/>
    </font>
    <font>
      <sz val="24"/>
      <color theme="1"/>
      <name val="Calibri"/>
      <family val="2"/>
      <scheme val="minor"/>
    </font>
    <font>
      <b/>
      <sz val="24"/>
      <color rgb="FFEEECE1"/>
      <name val="Constantia"/>
      <family val="1"/>
    </font>
    <font>
      <sz val="24"/>
      <color rgb="FFEEECE1"/>
      <name val="Calibri Light"/>
      <family val="2"/>
      <scheme val="major"/>
    </font>
    <font>
      <i/>
      <sz val="20"/>
      <color rgb="FFEEECE1"/>
      <name val="Constantia"/>
      <family val="1"/>
    </font>
    <font>
      <b/>
      <sz val="10"/>
      <color theme="1"/>
      <name val="Book Antiqua"/>
      <family val="1"/>
    </font>
    <font>
      <b/>
      <sz val="10"/>
      <color theme="0"/>
      <name val="Book Antiqua"/>
      <family val="1"/>
    </font>
    <font>
      <sz val="10"/>
      <color theme="1"/>
      <name val="Book Antiqua"/>
      <family val="1"/>
    </font>
    <font>
      <sz val="10"/>
      <color rgb="FF1111FF"/>
      <name val="Book Antiqua"/>
      <family val="1"/>
    </font>
    <font>
      <sz val="9"/>
      <color indexed="81"/>
      <name val="Tahoma"/>
      <family val="2"/>
    </font>
    <font>
      <b/>
      <sz val="9"/>
      <color indexed="81"/>
      <name val="Tahoma"/>
      <family val="2"/>
    </font>
    <font>
      <b/>
      <sz val="10"/>
      <name val="Book Antiqua"/>
      <family val="1"/>
    </font>
    <font>
      <sz val="10"/>
      <color rgb="FF3333CC"/>
      <name val="Book Antiqua"/>
      <family val="1"/>
    </font>
    <font>
      <sz val="10"/>
      <name val="Book Antiqua"/>
      <family val="1"/>
    </font>
    <font>
      <sz val="11"/>
      <color theme="1"/>
      <name val="Book Antiqua"/>
      <family val="1"/>
    </font>
    <font>
      <sz val="10"/>
      <color rgb="FF148229"/>
      <name val="Book Antiqua"/>
      <family val="1"/>
    </font>
    <font>
      <b/>
      <sz val="12"/>
      <color rgb="FFEEECE1"/>
      <name val="Book Antiqua"/>
      <family val="1"/>
    </font>
    <font>
      <sz val="10"/>
      <color rgb="FFEEECE1"/>
      <name val="Book Antiqua"/>
      <family val="1"/>
    </font>
    <font>
      <i/>
      <sz val="9"/>
      <color rgb="FFEEECE1"/>
      <name val="Book Antiqua"/>
      <family val="1"/>
    </font>
    <font>
      <b/>
      <sz val="10"/>
      <color rgb="FF1111FF"/>
      <name val="Book Antiqua"/>
      <family val="1"/>
    </font>
    <font>
      <i/>
      <sz val="10"/>
      <color rgb="FFFF0000"/>
      <name val="Book Antiqua"/>
      <family val="1"/>
    </font>
    <font>
      <sz val="10"/>
      <color rgb="FFFF0000"/>
      <name val="Book Antiqua"/>
      <family val="1"/>
    </font>
    <font>
      <sz val="10"/>
      <color rgb="FF3333CC"/>
      <name val="Calibri"/>
      <family val="2"/>
      <scheme val="minor"/>
    </font>
    <font>
      <b/>
      <sz val="10"/>
      <color rgb="FF148229"/>
      <name val="Book Antiqua"/>
      <family val="1"/>
    </font>
    <font>
      <i/>
      <sz val="10"/>
      <color theme="1"/>
      <name val="Book Antiqua"/>
      <family val="1"/>
    </font>
    <font>
      <b/>
      <sz val="11"/>
      <color theme="1"/>
      <name val="Calibri"/>
      <family val="2"/>
      <scheme val="minor"/>
    </font>
    <font>
      <sz val="11"/>
      <color theme="0"/>
      <name val="Calibri"/>
      <family val="2"/>
      <scheme val="minor"/>
    </font>
    <font>
      <i/>
      <sz val="11"/>
      <color theme="1"/>
      <name val="Calibri"/>
      <family val="2"/>
      <scheme val="minor"/>
    </font>
    <font>
      <sz val="10"/>
      <color rgb="FF0070C0"/>
      <name val="Book Antiqua"/>
      <family val="1"/>
    </font>
    <font>
      <sz val="10"/>
      <color theme="0"/>
      <name val="Book Antiqua"/>
      <family val="1"/>
    </font>
    <font>
      <b/>
      <sz val="13"/>
      <color theme="1"/>
      <name val="Calibri"/>
      <family val="2"/>
      <scheme val="minor"/>
    </font>
    <font>
      <sz val="11"/>
      <color rgb="FF148229"/>
      <name val="Calibri"/>
      <family val="2"/>
      <scheme val="minor"/>
    </font>
    <font>
      <sz val="11"/>
      <color theme="4"/>
      <name val="Calibri"/>
      <family val="2"/>
      <scheme val="minor"/>
    </font>
  </fonts>
  <fills count="15">
    <fill>
      <patternFill patternType="none"/>
    </fill>
    <fill>
      <patternFill patternType="gray125"/>
    </fill>
    <fill>
      <patternFill patternType="solid">
        <fgColor rgb="FF6A1510"/>
        <bgColor indexed="64"/>
      </patternFill>
    </fill>
    <fill>
      <patternFill patternType="solid">
        <fgColor rgb="FF243850"/>
        <bgColor indexed="64"/>
      </patternFill>
    </fill>
    <fill>
      <patternFill patternType="solid">
        <fgColor rgb="FFCCD1E2"/>
        <bgColor indexed="64"/>
      </patternFill>
    </fill>
    <fill>
      <patternFill patternType="solid">
        <fgColor rgb="FFF4D4BE"/>
        <bgColor indexed="64"/>
      </patternFill>
    </fill>
    <fill>
      <patternFill patternType="solid">
        <fgColor rgb="FFEEECE1"/>
        <bgColor indexed="64"/>
      </patternFill>
    </fill>
    <fill>
      <patternFill patternType="solid">
        <fgColor rgb="FFD2D3DC"/>
        <bgColor indexed="64"/>
      </patternFill>
    </fill>
    <fill>
      <patternFill patternType="solid">
        <fgColor rgb="FFE2D4D4"/>
        <bgColor indexed="64"/>
      </patternFill>
    </fill>
    <fill>
      <patternFill patternType="solid">
        <fgColor theme="2"/>
        <bgColor indexed="64"/>
      </patternFill>
    </fill>
    <fill>
      <patternFill patternType="solid">
        <fgColor rgb="FFE7E6E6"/>
        <bgColor indexed="64"/>
      </patternFill>
    </fill>
    <fill>
      <patternFill patternType="solid">
        <fgColor rgb="FFFFFF00"/>
        <bgColor indexed="64"/>
      </patternFill>
    </fill>
    <fill>
      <patternFill patternType="solid">
        <fgColor theme="4" tint="0.59999389629810485"/>
        <bgColor indexed="65"/>
      </patternFill>
    </fill>
    <fill>
      <patternFill patternType="solid">
        <fgColor theme="5" tint="0.59999389629810485"/>
        <bgColor indexed="65"/>
      </patternFill>
    </fill>
    <fill>
      <patternFill patternType="solid">
        <fgColor theme="0" tint="-0.14999847407452621"/>
        <bgColor indexed="64"/>
      </patternFill>
    </fill>
  </fills>
  <borders count="35">
    <border>
      <left/>
      <right/>
      <top/>
      <bottom/>
      <diagonal/>
    </border>
    <border>
      <left style="mediumDashDot">
        <color auto="1"/>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medium">
        <color auto="1"/>
      </top>
      <bottom/>
      <diagonal/>
    </border>
    <border>
      <left style="mediumDashDot">
        <color auto="1"/>
      </left>
      <right/>
      <top style="medium">
        <color auto="1"/>
      </top>
      <bottom/>
      <diagonal/>
    </border>
    <border>
      <left/>
      <right style="mediumDashDot">
        <color auto="1"/>
      </right>
      <top style="medium">
        <color auto="1"/>
      </top>
      <bottom/>
      <diagonal/>
    </border>
    <border>
      <left/>
      <right style="mediumDashDot">
        <color auto="1"/>
      </right>
      <top style="thick">
        <color auto="1"/>
      </top>
      <bottom/>
      <diagonal/>
    </border>
    <border>
      <left/>
      <right/>
      <top style="thick">
        <color auto="1"/>
      </top>
      <bottom/>
      <diagonal/>
    </border>
    <border>
      <left/>
      <right/>
      <top style="thin">
        <color indexed="64"/>
      </top>
      <bottom style="double">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auto="1"/>
      </top>
      <bottom/>
      <diagonal/>
    </border>
    <border>
      <left/>
      <right style="thin">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double">
        <color indexed="64"/>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0" fontId="1" fillId="12" borderId="0" applyNumberFormat="0" applyBorder="0" applyAlignment="0" applyProtection="0"/>
    <xf numFmtId="0" fontId="1" fillId="13" borderId="0" applyNumberFormat="0" applyBorder="0" applyAlignment="0" applyProtection="0"/>
  </cellStyleXfs>
  <cellXfs count="330">
    <xf numFmtId="0" fontId="0" fillId="0" borderId="0" xfId="0"/>
    <xf numFmtId="0" fontId="0" fillId="2" borderId="0" xfId="0" applyFill="1"/>
    <xf numFmtId="0" fontId="2" fillId="2" borderId="0" xfId="0" applyFont="1" applyFill="1"/>
    <xf numFmtId="14" fontId="3" fillId="2" borderId="0" xfId="0" applyNumberFormat="1" applyFont="1" applyFill="1" applyAlignment="1">
      <alignment horizontal="left"/>
    </xf>
    <xf numFmtId="0" fontId="4" fillId="2" borderId="0" xfId="0" applyFont="1" applyFill="1"/>
    <xf numFmtId="0" fontId="0" fillId="3" borderId="0" xfId="0" applyFill="1"/>
    <xf numFmtId="2" fontId="0" fillId="2" borderId="0" xfId="0" applyNumberFormat="1" applyFill="1"/>
    <xf numFmtId="0" fontId="5" fillId="3" borderId="0" xfId="0" applyFont="1" applyFill="1"/>
    <xf numFmtId="0" fontId="6" fillId="2" borderId="0" xfId="0" applyFont="1" applyFill="1" applyAlignment="1">
      <alignment horizontal="centerContinuous" vertical="center"/>
    </xf>
    <xf numFmtId="0" fontId="7" fillId="2" borderId="0" xfId="0" applyFont="1" applyFill="1" applyAlignment="1">
      <alignment horizontal="centerContinuous"/>
    </xf>
    <xf numFmtId="0" fontId="8" fillId="2" borderId="0" xfId="0" applyFont="1" applyFill="1" applyAlignment="1">
      <alignment horizontal="centerContinuous" vertical="center"/>
    </xf>
    <xf numFmtId="0" fontId="3" fillId="2" borderId="0" xfId="0" applyFont="1" applyFill="1"/>
    <xf numFmtId="0" fontId="9" fillId="4" borderId="0" xfId="0" applyFont="1" applyFill="1" applyAlignment="1">
      <alignment horizontal="centerContinuous"/>
    </xf>
    <xf numFmtId="0" fontId="9" fillId="5" borderId="0" xfId="0" applyFont="1" applyFill="1" applyAlignment="1">
      <alignment horizontal="centerContinuous"/>
    </xf>
    <xf numFmtId="0" fontId="10" fillId="2" borderId="0" xfId="0" applyFont="1" applyFill="1" applyAlignment="1">
      <alignment horizontal="right"/>
    </xf>
    <xf numFmtId="0" fontId="11" fillId="0" borderId="0" xfId="0" applyFont="1"/>
    <xf numFmtId="0" fontId="10" fillId="2" borderId="0" xfId="0" applyFont="1" applyFill="1" applyAlignment="1">
      <alignment horizontal="left"/>
    </xf>
    <xf numFmtId="0" fontId="10" fillId="2" borderId="2" xfId="0" applyFont="1" applyFill="1" applyBorder="1" applyAlignment="1">
      <alignment horizontal="center"/>
    </xf>
    <xf numFmtId="0" fontId="11" fillId="6" borderId="0" xfId="0" applyFont="1" applyFill="1"/>
    <xf numFmtId="164" fontId="11" fillId="0" borderId="0" xfId="2" applyNumberFormat="1" applyFont="1"/>
    <xf numFmtId="164" fontId="12" fillId="0" borderId="1" xfId="0" applyNumberFormat="1" applyFont="1" applyBorder="1"/>
    <xf numFmtId="164" fontId="11" fillId="0" borderId="0" xfId="0" applyNumberFormat="1" applyFont="1"/>
    <xf numFmtId="10" fontId="12" fillId="0" borderId="3" xfId="0" applyNumberFormat="1" applyFont="1" applyBorder="1" applyAlignment="1">
      <alignment horizontal="center"/>
    </xf>
    <xf numFmtId="164" fontId="11" fillId="0" borderId="1" xfId="2" applyNumberFormat="1" applyFont="1" applyBorder="1"/>
    <xf numFmtId="0" fontId="11" fillId="0" borderId="3" xfId="0" applyFont="1" applyBorder="1"/>
    <xf numFmtId="164" fontId="11" fillId="0" borderId="1" xfId="0" applyNumberFormat="1" applyFont="1" applyBorder="1"/>
    <xf numFmtId="0" fontId="11" fillId="0" borderId="4" xfId="0" applyFont="1" applyBorder="1"/>
    <xf numFmtId="41" fontId="12" fillId="0" borderId="0" xfId="1" applyNumberFormat="1" applyFont="1"/>
    <xf numFmtId="0" fontId="9" fillId="0" borderId="0" xfId="0" applyFont="1"/>
    <xf numFmtId="0" fontId="9" fillId="5" borderId="1" xfId="0" applyFont="1" applyFill="1" applyBorder="1" applyAlignment="1">
      <alignment horizontal="centerContinuous"/>
    </xf>
    <xf numFmtId="41" fontId="11" fillId="0" borderId="1" xfId="0" applyNumberFormat="1" applyFont="1" applyBorder="1"/>
    <xf numFmtId="41" fontId="11" fillId="0" borderId="0" xfId="0" applyNumberFormat="1" applyFont="1"/>
    <xf numFmtId="41" fontId="15" fillId="0" borderId="5" xfId="1" applyNumberFormat="1" applyFont="1" applyBorder="1"/>
    <xf numFmtId="0" fontId="9" fillId="0" borderId="5" xfId="0" applyFont="1" applyBorder="1" applyAlignment="1">
      <alignment horizontal="left" indent="1"/>
    </xf>
    <xf numFmtId="41" fontId="9" fillId="0" borderId="6" xfId="0" applyNumberFormat="1" applyFont="1" applyBorder="1"/>
    <xf numFmtId="41" fontId="9" fillId="0" borderId="5" xfId="0" applyNumberFormat="1" applyFont="1" applyBorder="1"/>
    <xf numFmtId="41" fontId="15" fillId="0" borderId="7" xfId="1" applyNumberFormat="1" applyFont="1" applyBorder="1"/>
    <xf numFmtId="0" fontId="11" fillId="0" borderId="0" xfId="0" applyFont="1" applyAlignment="1">
      <alignment horizontal="left" indent="1"/>
    </xf>
    <xf numFmtId="0" fontId="9" fillId="0" borderId="0" xfId="0" applyFont="1" applyAlignment="1">
      <alignment horizontal="left" indent="1"/>
    </xf>
    <xf numFmtId="0" fontId="9" fillId="0" borderId="9" xfId="0" applyFont="1" applyBorder="1" applyAlignment="1">
      <alignment horizontal="left" indent="1"/>
    </xf>
    <xf numFmtId="41" fontId="15" fillId="0" borderId="9" xfId="1" applyNumberFormat="1" applyFont="1" applyBorder="1"/>
    <xf numFmtId="41" fontId="15" fillId="0" borderId="8" xfId="1" applyNumberFormat="1" applyFont="1" applyBorder="1"/>
    <xf numFmtId="0" fontId="9" fillId="0" borderId="0" xfId="0" applyFont="1" applyAlignment="1">
      <alignment horizontal="left"/>
    </xf>
    <xf numFmtId="37" fontId="9" fillId="0" borderId="0" xfId="0" applyNumberFormat="1" applyFont="1" applyAlignment="1">
      <alignment horizontal="left"/>
    </xf>
    <xf numFmtId="37" fontId="11" fillId="0" borderId="0" xfId="0" applyNumberFormat="1" applyFont="1" applyAlignment="1">
      <alignment horizontal="left" indent="1"/>
    </xf>
    <xf numFmtId="37" fontId="9" fillId="0" borderId="10" xfId="0" applyNumberFormat="1" applyFont="1" applyBorder="1" applyAlignment="1">
      <alignment horizontal="left"/>
    </xf>
    <xf numFmtId="37" fontId="11" fillId="0" borderId="0" xfId="0" applyNumberFormat="1" applyFont="1" applyAlignment="1">
      <alignment horizontal="left"/>
    </xf>
    <xf numFmtId="0" fontId="10" fillId="2" borderId="0" xfId="0" applyFont="1" applyFill="1"/>
    <xf numFmtId="0" fontId="11" fillId="0" borderId="11" xfId="0" applyFont="1" applyBorder="1"/>
    <xf numFmtId="0" fontId="11" fillId="0" borderId="14" xfId="0" applyFont="1" applyBorder="1"/>
    <xf numFmtId="37" fontId="11" fillId="0" borderId="11" xfId="0" applyNumberFormat="1" applyFont="1" applyBorder="1" applyAlignment="1">
      <alignment horizontal="left"/>
    </xf>
    <xf numFmtId="37" fontId="11" fillId="0" borderId="14" xfId="0" applyNumberFormat="1" applyFont="1" applyBorder="1" applyAlignment="1">
      <alignment horizontal="left" indent="1"/>
    </xf>
    <xf numFmtId="37" fontId="11" fillId="0" borderId="14" xfId="0" applyNumberFormat="1" applyFont="1" applyBorder="1" applyAlignment="1">
      <alignment horizontal="left"/>
    </xf>
    <xf numFmtId="37" fontId="11" fillId="0" borderId="16" xfId="0" applyNumberFormat="1" applyFont="1" applyBorder="1" applyAlignment="1">
      <alignment horizontal="left" indent="1"/>
    </xf>
    <xf numFmtId="164" fontId="12" fillId="0" borderId="12" xfId="2" applyNumberFormat="1" applyFont="1" applyBorder="1"/>
    <xf numFmtId="0" fontId="11" fillId="0" borderId="12" xfId="0" applyFont="1" applyBorder="1"/>
    <xf numFmtId="0" fontId="11" fillId="0" borderId="13" xfId="0" applyFont="1" applyBorder="1"/>
    <xf numFmtId="0" fontId="11" fillId="0" borderId="15" xfId="0" applyFont="1" applyBorder="1"/>
    <xf numFmtId="165" fontId="16" fillId="0" borderId="0" xfId="0" applyNumberFormat="1" applyFont="1"/>
    <xf numFmtId="165" fontId="16" fillId="0" borderId="15" xfId="0" applyNumberFormat="1" applyFont="1" applyBorder="1"/>
    <xf numFmtId="37" fontId="11" fillId="0" borderId="12" xfId="0" applyNumberFormat="1" applyFont="1" applyBorder="1" applyAlignment="1">
      <alignment horizontal="left"/>
    </xf>
    <xf numFmtId="165" fontId="16" fillId="10" borderId="12" xfId="0" applyNumberFormat="1" applyFont="1" applyFill="1" applyBorder="1"/>
    <xf numFmtId="165" fontId="11" fillId="0" borderId="12" xfId="0" applyNumberFormat="1" applyFont="1" applyBorder="1"/>
    <xf numFmtId="165" fontId="17" fillId="0" borderId="12" xfId="0" applyNumberFormat="1" applyFont="1" applyBorder="1"/>
    <xf numFmtId="165" fontId="17" fillId="0" borderId="13" xfId="0" applyNumberFormat="1" applyFont="1" applyBorder="1"/>
    <xf numFmtId="165" fontId="11" fillId="0" borderId="0" xfId="0" applyNumberFormat="1" applyFont="1"/>
    <xf numFmtId="165" fontId="17" fillId="0" borderId="0" xfId="0" applyNumberFormat="1" applyFont="1"/>
    <xf numFmtId="165" fontId="17" fillId="0" borderId="15" xfId="0" applyNumberFormat="1" applyFont="1" applyBorder="1"/>
    <xf numFmtId="37" fontId="11" fillId="0" borderId="17" xfId="0" applyNumberFormat="1" applyFont="1" applyBorder="1" applyAlignment="1">
      <alignment horizontal="left" indent="1"/>
    </xf>
    <xf numFmtId="165" fontId="16" fillId="10" borderId="17" xfId="0" applyNumberFormat="1" applyFont="1" applyFill="1" applyBorder="1"/>
    <xf numFmtId="165" fontId="17" fillId="0" borderId="17" xfId="0" applyNumberFormat="1" applyFont="1" applyBorder="1"/>
    <xf numFmtId="165" fontId="17" fillId="0" borderId="18" xfId="0" applyNumberFormat="1" applyFont="1" applyBorder="1"/>
    <xf numFmtId="37" fontId="12" fillId="0" borderId="0" xfId="0" applyNumberFormat="1" applyFont="1"/>
    <xf numFmtId="10" fontId="12" fillId="0" borderId="12" xfId="2" applyNumberFormat="1" applyFont="1" applyBorder="1"/>
    <xf numFmtId="167" fontId="12" fillId="0" borderId="12" xfId="2" applyNumberFormat="1" applyFont="1" applyBorder="1"/>
    <xf numFmtId="37" fontId="9" fillId="0" borderId="12" xfId="0" applyNumberFormat="1" applyFont="1" applyBorder="1" applyAlignment="1">
      <alignment horizontal="left"/>
    </xf>
    <xf numFmtId="37" fontId="9" fillId="0" borderId="19" xfId="0" applyNumberFormat="1" applyFont="1" applyBorder="1" applyAlignment="1">
      <alignment horizontal="left"/>
    </xf>
    <xf numFmtId="168" fontId="11" fillId="0" borderId="0" xfId="0" applyNumberFormat="1" applyFont="1" applyAlignment="1">
      <alignment horizontal="left"/>
    </xf>
    <xf numFmtId="0" fontId="9" fillId="0" borderId="19" xfId="0" applyFont="1" applyBorder="1"/>
    <xf numFmtId="0" fontId="9" fillId="4" borderId="15" xfId="0" applyFont="1" applyFill="1" applyBorder="1" applyAlignment="1">
      <alignment horizontal="centerContinuous"/>
    </xf>
    <xf numFmtId="0" fontId="10" fillId="2" borderId="15" xfId="0" applyFont="1" applyFill="1" applyBorder="1" applyAlignment="1">
      <alignment horizontal="right"/>
    </xf>
    <xf numFmtId="165" fontId="11" fillId="0" borderId="5" xfId="0" applyNumberFormat="1" applyFont="1" applyBorder="1"/>
    <xf numFmtId="165" fontId="17" fillId="0" borderId="5" xfId="0" applyNumberFormat="1" applyFont="1" applyBorder="1"/>
    <xf numFmtId="165" fontId="17" fillId="0" borderId="22" xfId="0" applyNumberFormat="1" applyFont="1" applyBorder="1"/>
    <xf numFmtId="165" fontId="17" fillId="0" borderId="24" xfId="0" applyNumberFormat="1" applyFont="1" applyBorder="1"/>
    <xf numFmtId="41" fontId="17" fillId="0" borderId="26" xfId="0" applyNumberFormat="1" applyFont="1" applyBorder="1" applyAlignment="1">
      <alignment horizontal="left" indent="1"/>
    </xf>
    <xf numFmtId="41" fontId="15" fillId="0" borderId="26" xfId="0" applyNumberFormat="1" applyFont="1" applyBorder="1" applyAlignment="1">
      <alignment horizontal="left" indent="1"/>
    </xf>
    <xf numFmtId="41" fontId="15" fillId="0" borderId="28" xfId="0" applyNumberFormat="1" applyFont="1" applyBorder="1" applyAlignment="1">
      <alignment horizontal="left" indent="1"/>
    </xf>
    <xf numFmtId="41" fontId="15" fillId="0" borderId="29" xfId="0" applyNumberFormat="1" applyFont="1" applyBorder="1" applyAlignment="1">
      <alignment horizontal="left" indent="1"/>
    </xf>
    <xf numFmtId="37" fontId="11" fillId="0" borderId="0" xfId="0" applyNumberFormat="1" applyFont="1"/>
    <xf numFmtId="0" fontId="15" fillId="8" borderId="0" xfId="0" applyFont="1" applyFill="1" applyAlignment="1">
      <alignment horizontal="centerContinuous"/>
    </xf>
    <xf numFmtId="164" fontId="17" fillId="0" borderId="5" xfId="2" applyNumberFormat="1" applyFont="1" applyBorder="1"/>
    <xf numFmtId="164" fontId="17" fillId="0" borderId="22" xfId="2" applyNumberFormat="1" applyFont="1" applyBorder="1"/>
    <xf numFmtId="165" fontId="12" fillId="0" borderId="0" xfId="0" applyNumberFormat="1" applyFont="1"/>
    <xf numFmtId="41" fontId="17" fillId="0" borderId="0" xfId="1" applyNumberFormat="1" applyFont="1"/>
    <xf numFmtId="41" fontId="17" fillId="0" borderId="5" xfId="0" applyNumberFormat="1" applyFont="1" applyBorder="1"/>
    <xf numFmtId="41" fontId="19" fillId="0" borderId="0" xfId="1" applyNumberFormat="1" applyFont="1"/>
    <xf numFmtId="165" fontId="11" fillId="0" borderId="30" xfId="0" applyNumberFormat="1" applyFont="1" applyBorder="1"/>
    <xf numFmtId="165" fontId="12" fillId="0" borderId="15" xfId="0" applyNumberFormat="1" applyFont="1" applyBorder="1"/>
    <xf numFmtId="41" fontId="12" fillId="0" borderId="0" xfId="0" applyNumberFormat="1" applyFont="1" applyAlignment="1">
      <alignment horizontal="left" indent="1"/>
    </xf>
    <xf numFmtId="41" fontId="12" fillId="0" borderId="15" xfId="0" applyNumberFormat="1" applyFont="1" applyBorder="1" applyAlignment="1">
      <alignment horizontal="left" indent="1"/>
    </xf>
    <xf numFmtId="41" fontId="17" fillId="0" borderId="31" xfId="0" applyNumberFormat="1" applyFont="1" applyBorder="1" applyAlignment="1">
      <alignment horizontal="left" indent="1"/>
    </xf>
    <xf numFmtId="165" fontId="12" fillId="0" borderId="31" xfId="0" applyNumberFormat="1" applyFont="1" applyBorder="1"/>
    <xf numFmtId="165" fontId="17" fillId="0" borderId="30" xfId="0" applyNumberFormat="1" applyFont="1" applyBorder="1"/>
    <xf numFmtId="164" fontId="17" fillId="0" borderId="5" xfId="2" applyNumberFormat="1" applyFont="1" applyFill="1" applyBorder="1"/>
    <xf numFmtId="164" fontId="17" fillId="0" borderId="30" xfId="2" applyNumberFormat="1" applyFont="1" applyFill="1" applyBorder="1"/>
    <xf numFmtId="164" fontId="17" fillId="0" borderId="0" xfId="2" applyNumberFormat="1" applyFont="1" applyFill="1" applyBorder="1"/>
    <xf numFmtId="164" fontId="17" fillId="0" borderId="15" xfId="2" applyNumberFormat="1" applyFont="1" applyFill="1" applyBorder="1"/>
    <xf numFmtId="0" fontId="20" fillId="2" borderId="0" xfId="0" applyFont="1" applyFill="1"/>
    <xf numFmtId="0" fontId="18" fillId="2" borderId="0" xfId="0" applyFont="1" applyFill="1"/>
    <xf numFmtId="0" fontId="21" fillId="2" borderId="0" xfId="0" applyFont="1" applyFill="1"/>
    <xf numFmtId="0" fontId="22" fillId="2" borderId="0" xfId="0" applyFont="1" applyFill="1"/>
    <xf numFmtId="164" fontId="11" fillId="0" borderId="0" xfId="2" applyNumberFormat="1" applyFont="1" applyBorder="1"/>
    <xf numFmtId="164" fontId="11" fillId="0" borderId="15" xfId="2" applyNumberFormat="1" applyFont="1" applyBorder="1"/>
    <xf numFmtId="164" fontId="17" fillId="0" borderId="0" xfId="2" applyNumberFormat="1" applyFont="1" applyBorder="1"/>
    <xf numFmtId="164" fontId="11" fillId="0" borderId="24" xfId="0" applyNumberFormat="1" applyFont="1" applyBorder="1"/>
    <xf numFmtId="41" fontId="23" fillId="0" borderId="26" xfId="0" applyNumberFormat="1" applyFont="1" applyBorder="1" applyAlignment="1">
      <alignment horizontal="left" indent="1"/>
    </xf>
    <xf numFmtId="41" fontId="23" fillId="0" borderId="31" xfId="0" applyNumberFormat="1" applyFont="1" applyBorder="1" applyAlignment="1">
      <alignment horizontal="left" indent="1"/>
    </xf>
    <xf numFmtId="41" fontId="23" fillId="0" borderId="28" xfId="0" applyNumberFormat="1" applyFont="1" applyBorder="1" applyAlignment="1">
      <alignment horizontal="left" indent="1"/>
    </xf>
    <xf numFmtId="41" fontId="23" fillId="0" borderId="32" xfId="0" applyNumberFormat="1" applyFont="1" applyBorder="1" applyAlignment="1">
      <alignment horizontal="left" indent="1"/>
    </xf>
    <xf numFmtId="41" fontId="9" fillId="0" borderId="0" xfId="0" applyNumberFormat="1" applyFont="1"/>
    <xf numFmtId="41" fontId="11" fillId="0" borderId="15" xfId="0" applyNumberFormat="1" applyFont="1" applyBorder="1"/>
    <xf numFmtId="41" fontId="19" fillId="0" borderId="0" xfId="0" applyNumberFormat="1" applyFont="1"/>
    <xf numFmtId="41" fontId="11" fillId="0" borderId="17" xfId="0" applyNumberFormat="1" applyFont="1" applyBorder="1"/>
    <xf numFmtId="41" fontId="11" fillId="0" borderId="18" xfId="0" applyNumberFormat="1" applyFont="1" applyBorder="1"/>
    <xf numFmtId="41" fontId="19" fillId="0" borderId="17" xfId="0" applyNumberFormat="1" applyFont="1" applyBorder="1"/>
    <xf numFmtId="41" fontId="11" fillId="0" borderId="12" xfId="0" applyNumberFormat="1" applyFont="1" applyBorder="1"/>
    <xf numFmtId="41" fontId="11" fillId="0" borderId="13" xfId="0" applyNumberFormat="1" applyFont="1" applyBorder="1"/>
    <xf numFmtId="41" fontId="9" fillId="0" borderId="12" xfId="0" applyNumberFormat="1" applyFont="1" applyBorder="1"/>
    <xf numFmtId="41" fontId="11" fillId="0" borderId="19" xfId="0" applyNumberFormat="1" applyFont="1" applyBorder="1"/>
    <xf numFmtId="41" fontId="11" fillId="0" borderId="20" xfId="0" applyNumberFormat="1" applyFont="1" applyBorder="1"/>
    <xf numFmtId="41" fontId="9" fillId="0" borderId="19" xfId="0" applyNumberFormat="1" applyFont="1" applyBorder="1"/>
    <xf numFmtId="41" fontId="17" fillId="0" borderId="0" xfId="0" applyNumberFormat="1" applyFont="1" applyAlignment="1">
      <alignment horizontal="left" indent="1"/>
    </xf>
    <xf numFmtId="41" fontId="17" fillId="0" borderId="15" xfId="0" applyNumberFormat="1" applyFont="1" applyBorder="1" applyAlignment="1">
      <alignment horizontal="left" indent="1"/>
    </xf>
    <xf numFmtId="41" fontId="17" fillId="0" borderId="24" xfId="0" applyNumberFormat="1" applyFont="1" applyBorder="1" applyAlignment="1">
      <alignment horizontal="left" indent="1"/>
    </xf>
    <xf numFmtId="165" fontId="16" fillId="10" borderId="0" xfId="0" applyNumberFormat="1" applyFont="1" applyFill="1"/>
    <xf numFmtId="165" fontId="12" fillId="0" borderId="12" xfId="0" applyNumberFormat="1" applyFont="1" applyBorder="1"/>
    <xf numFmtId="37" fontId="11" fillId="0" borderId="33" xfId="0" applyNumberFormat="1" applyFont="1" applyBorder="1" applyAlignment="1">
      <alignment horizontal="left" indent="1"/>
    </xf>
    <xf numFmtId="37" fontId="11" fillId="0" borderId="19" xfId="0" applyNumberFormat="1" applyFont="1" applyBorder="1" applyAlignment="1">
      <alignment horizontal="left" indent="1"/>
    </xf>
    <xf numFmtId="165" fontId="16" fillId="10" borderId="19" xfId="0" applyNumberFormat="1" applyFont="1" applyFill="1" applyBorder="1"/>
    <xf numFmtId="165" fontId="17" fillId="0" borderId="19" xfId="0" applyNumberFormat="1" applyFont="1" applyBorder="1"/>
    <xf numFmtId="165" fontId="17" fillId="0" borderId="20" xfId="0" applyNumberFormat="1" applyFont="1" applyBorder="1"/>
    <xf numFmtId="165" fontId="16" fillId="10" borderId="13" xfId="0" applyNumberFormat="1" applyFont="1" applyFill="1" applyBorder="1"/>
    <xf numFmtId="165" fontId="16" fillId="10" borderId="15" xfId="0" applyNumberFormat="1" applyFont="1" applyFill="1" applyBorder="1"/>
    <xf numFmtId="165" fontId="16" fillId="10" borderId="18" xfId="0" applyNumberFormat="1" applyFont="1" applyFill="1" applyBorder="1"/>
    <xf numFmtId="165" fontId="16" fillId="10" borderId="20" xfId="0" applyNumberFormat="1" applyFont="1" applyFill="1" applyBorder="1"/>
    <xf numFmtId="164" fontId="17" fillId="0" borderId="15" xfId="2" applyNumberFormat="1" applyFont="1" applyBorder="1"/>
    <xf numFmtId="0" fontId="11" fillId="0" borderId="1" xfId="0" applyFont="1" applyBorder="1"/>
    <xf numFmtId="0" fontId="11" fillId="4" borderId="0" xfId="0" applyFont="1" applyFill="1"/>
    <xf numFmtId="0" fontId="24" fillId="0" borderId="0" xfId="0" applyFont="1" applyAlignment="1">
      <alignment horizontal="left" indent="1"/>
    </xf>
    <xf numFmtId="41" fontId="25" fillId="0" borderId="0" xfId="0" applyNumberFormat="1" applyFont="1"/>
    <xf numFmtId="166" fontId="11" fillId="0" borderId="0" xfId="0" applyNumberFormat="1" applyFont="1"/>
    <xf numFmtId="41" fontId="11" fillId="0" borderId="0" xfId="2" applyNumberFormat="1" applyFont="1"/>
    <xf numFmtId="3" fontId="12" fillId="0" borderId="0" xfId="0" applyNumberFormat="1" applyFont="1"/>
    <xf numFmtId="165" fontId="16" fillId="9" borderId="12" xfId="0" applyNumberFormat="1" applyFont="1" applyFill="1" applyBorder="1"/>
    <xf numFmtId="165" fontId="16" fillId="9" borderId="13" xfId="0" applyNumberFormat="1" applyFont="1" applyFill="1" applyBorder="1"/>
    <xf numFmtId="165" fontId="17" fillId="0" borderId="12" xfId="0" applyNumberFormat="1" applyFont="1" applyBorder="1" applyAlignment="1">
      <alignment horizontal="right"/>
    </xf>
    <xf numFmtId="165" fontId="17" fillId="0" borderId="13" xfId="0" applyNumberFormat="1" applyFont="1" applyBorder="1" applyAlignment="1">
      <alignment horizontal="right"/>
    </xf>
    <xf numFmtId="165" fontId="16" fillId="9" borderId="0" xfId="0" applyNumberFormat="1" applyFont="1" applyFill="1"/>
    <xf numFmtId="165" fontId="16" fillId="9" borderId="15" xfId="0" applyNumberFormat="1" applyFont="1" applyFill="1" applyBorder="1"/>
    <xf numFmtId="165" fontId="16" fillId="0" borderId="0" xfId="0" applyNumberFormat="1" applyFont="1" applyAlignment="1">
      <alignment horizontal="right"/>
    </xf>
    <xf numFmtId="165" fontId="17" fillId="0" borderId="0" xfId="0" applyNumberFormat="1" applyFont="1" applyAlignment="1">
      <alignment horizontal="right"/>
    </xf>
    <xf numFmtId="165" fontId="16" fillId="9" borderId="17" xfId="0" applyNumberFormat="1" applyFont="1" applyFill="1" applyBorder="1"/>
    <xf numFmtId="165" fontId="16" fillId="9" borderId="18" xfId="0" applyNumberFormat="1" applyFont="1" applyFill="1" applyBorder="1"/>
    <xf numFmtId="165" fontId="17" fillId="0" borderId="17" xfId="0" applyNumberFormat="1" applyFont="1" applyBorder="1" applyAlignment="1">
      <alignment horizontal="right"/>
    </xf>
    <xf numFmtId="165" fontId="17" fillId="0" borderId="18" xfId="0" applyNumberFormat="1" applyFont="1" applyBorder="1" applyAlignment="1">
      <alignment horizontal="right"/>
    </xf>
    <xf numFmtId="0" fontId="11" fillId="0" borderId="10" xfId="0" applyFont="1" applyBorder="1"/>
    <xf numFmtId="0" fontId="11" fillId="0" borderId="34" xfId="0" applyFont="1" applyBorder="1"/>
    <xf numFmtId="41" fontId="11" fillId="0" borderId="10" xfId="0" applyNumberFormat="1" applyFont="1" applyBorder="1"/>
    <xf numFmtId="0" fontId="11" fillId="0" borderId="17" xfId="0" applyFont="1" applyBorder="1"/>
    <xf numFmtId="165" fontId="11" fillId="0" borderId="17" xfId="0" applyNumberFormat="1" applyFont="1" applyBorder="1"/>
    <xf numFmtId="0" fontId="11" fillId="0" borderId="21" xfId="0" applyFont="1" applyBorder="1"/>
    <xf numFmtId="0" fontId="11" fillId="0" borderId="23" xfId="0" applyFont="1" applyBorder="1"/>
    <xf numFmtId="0" fontId="11" fillId="0" borderId="25" xfId="0" applyFont="1" applyBorder="1"/>
    <xf numFmtId="0" fontId="9" fillId="0" borderId="25" xfId="0" applyFont="1" applyBorder="1"/>
    <xf numFmtId="164" fontId="11" fillId="0" borderId="26" xfId="2" applyNumberFormat="1" applyFont="1" applyBorder="1"/>
    <xf numFmtId="164" fontId="11" fillId="0" borderId="31" xfId="2" applyNumberFormat="1" applyFont="1" applyBorder="1"/>
    <xf numFmtId="164" fontId="11" fillId="0" borderId="26" xfId="0" applyNumberFormat="1" applyFont="1" applyBorder="1"/>
    <xf numFmtId="164" fontId="11" fillId="0" borderId="27" xfId="0" applyNumberFormat="1" applyFont="1" applyBorder="1"/>
    <xf numFmtId="41" fontId="12" fillId="0" borderId="15" xfId="1" applyNumberFormat="1" applyFont="1" applyBorder="1"/>
    <xf numFmtId="41" fontId="9" fillId="0" borderId="30" xfId="0" applyNumberFormat="1" applyFont="1" applyBorder="1"/>
    <xf numFmtId="41" fontId="25" fillId="0" borderId="15" xfId="0" applyNumberFormat="1" applyFont="1" applyBorder="1"/>
    <xf numFmtId="166" fontId="11" fillId="0" borderId="15" xfId="0" applyNumberFormat="1" applyFont="1" applyBorder="1"/>
    <xf numFmtId="41" fontId="11" fillId="0" borderId="15" xfId="2" applyNumberFormat="1" applyFont="1" applyBorder="1"/>
    <xf numFmtId="0" fontId="11" fillId="0" borderId="33" xfId="0" applyFont="1" applyBorder="1"/>
    <xf numFmtId="37" fontId="26" fillId="9" borderId="12" xfId="0" applyNumberFormat="1" applyFont="1" applyFill="1" applyBorder="1"/>
    <xf numFmtId="37" fontId="26" fillId="9" borderId="17" xfId="0" applyNumberFormat="1" applyFont="1" applyFill="1" applyBorder="1"/>
    <xf numFmtId="37" fontId="26" fillId="9" borderId="0" xfId="0" applyNumberFormat="1" applyFont="1" applyFill="1"/>
    <xf numFmtId="0" fontId="11" fillId="0" borderId="16" xfId="0" applyFont="1" applyBorder="1"/>
    <xf numFmtId="169" fontId="10" fillId="2" borderId="0" xfId="0" applyNumberFormat="1" applyFont="1" applyFill="1" applyAlignment="1">
      <alignment horizontal="right"/>
    </xf>
    <xf numFmtId="37" fontId="26" fillId="9" borderId="13" xfId="0" applyNumberFormat="1" applyFont="1" applyFill="1" applyBorder="1"/>
    <xf numFmtId="37" fontId="26" fillId="9" borderId="15" xfId="0" applyNumberFormat="1" applyFont="1" applyFill="1" applyBorder="1"/>
    <xf numFmtId="37" fontId="26" fillId="9" borderId="18" xfId="0" applyNumberFormat="1" applyFont="1" applyFill="1" applyBorder="1"/>
    <xf numFmtId="9" fontId="11" fillId="0" borderId="0" xfId="0" applyNumberFormat="1" applyFont="1"/>
    <xf numFmtId="9" fontId="11" fillId="0" borderId="15" xfId="0" applyNumberFormat="1" applyFont="1" applyBorder="1"/>
    <xf numFmtId="9" fontId="12" fillId="0" borderId="0" xfId="0" applyNumberFormat="1" applyFont="1"/>
    <xf numFmtId="10" fontId="11" fillId="0" borderId="0" xfId="0" applyNumberFormat="1" applyFont="1"/>
    <xf numFmtId="165" fontId="16" fillId="0" borderId="15" xfId="0" applyNumberFormat="1" applyFont="1" applyBorder="1" applyAlignment="1">
      <alignment horizontal="right"/>
    </xf>
    <xf numFmtId="41" fontId="19" fillId="0" borderId="1" xfId="0" applyNumberFormat="1" applyFont="1" applyBorder="1"/>
    <xf numFmtId="43" fontId="11" fillId="0" borderId="0" xfId="0" applyNumberFormat="1" applyFont="1"/>
    <xf numFmtId="170" fontId="11" fillId="0" borderId="0" xfId="0" applyNumberFormat="1" applyFont="1"/>
    <xf numFmtId="165" fontId="12" fillId="0" borderId="5" xfId="0" applyNumberFormat="1" applyFont="1" applyBorder="1"/>
    <xf numFmtId="8" fontId="11" fillId="0" borderId="0" xfId="0" applyNumberFormat="1" applyFont="1"/>
    <xf numFmtId="9" fontId="12" fillId="0" borderId="20" xfId="0" applyNumberFormat="1" applyFont="1" applyBorder="1"/>
    <xf numFmtId="41" fontId="27" fillId="0" borderId="0" xfId="0" applyNumberFormat="1" applyFont="1"/>
    <xf numFmtId="10" fontId="12" fillId="0" borderId="0" xfId="2" applyNumberFormat="1" applyFont="1" applyFill="1"/>
    <xf numFmtId="17" fontId="12" fillId="0" borderId="0" xfId="0" applyNumberFormat="1" applyFont="1"/>
    <xf numFmtId="9" fontId="12" fillId="0" borderId="3" xfId="2" applyFont="1" applyBorder="1"/>
    <xf numFmtId="0" fontId="12" fillId="0" borderId="3" xfId="0" applyFont="1" applyBorder="1"/>
    <xf numFmtId="0" fontId="12" fillId="0" borderId="4" xfId="0" applyFont="1" applyBorder="1"/>
    <xf numFmtId="41" fontId="12" fillId="0" borderId="3" xfId="0" applyNumberFormat="1" applyFont="1" applyBorder="1"/>
    <xf numFmtId="41" fontId="27" fillId="0" borderId="15" xfId="0" applyNumberFormat="1" applyFont="1" applyBorder="1"/>
    <xf numFmtId="2" fontId="11" fillId="0" borderId="0" xfId="0" applyNumberFormat="1" applyFont="1"/>
    <xf numFmtId="41" fontId="17" fillId="0" borderId="0" xfId="0" applyNumberFormat="1" applyFont="1"/>
    <xf numFmtId="10" fontId="12" fillId="0" borderId="0" xfId="2" applyNumberFormat="1" applyFont="1"/>
    <xf numFmtId="0" fontId="11" fillId="9" borderId="0" xfId="0" applyFont="1" applyFill="1"/>
    <xf numFmtId="0" fontId="11" fillId="9" borderId="15" xfId="0" applyFont="1" applyFill="1" applyBorder="1"/>
    <xf numFmtId="10" fontId="12" fillId="0" borderId="0" xfId="0" applyNumberFormat="1" applyFont="1"/>
    <xf numFmtId="10" fontId="12" fillId="0" borderId="0" xfId="2" applyNumberFormat="1" applyFont="1" applyFill="1" applyBorder="1"/>
    <xf numFmtId="0" fontId="28" fillId="0" borderId="14" xfId="0" applyFont="1" applyBorder="1" applyAlignment="1">
      <alignment horizontal="left" indent="1"/>
    </xf>
    <xf numFmtId="2" fontId="11" fillId="0" borderId="1" xfId="0" applyNumberFormat="1" applyFont="1" applyBorder="1"/>
    <xf numFmtId="171" fontId="11" fillId="0" borderId="0" xfId="0" applyNumberFormat="1" applyFont="1"/>
    <xf numFmtId="164" fontId="12" fillId="0" borderId="0" xfId="2" applyNumberFormat="1" applyFont="1" applyBorder="1"/>
    <xf numFmtId="172" fontId="12" fillId="0" borderId="0" xfId="2" applyNumberFormat="1" applyFont="1"/>
    <xf numFmtId="173" fontId="12" fillId="0" borderId="0" xfId="2" applyNumberFormat="1" applyFont="1" applyFill="1" applyBorder="1"/>
    <xf numFmtId="174" fontId="11" fillId="0" borderId="1" xfId="0" applyNumberFormat="1" applyFont="1" applyBorder="1"/>
    <xf numFmtId="174" fontId="11" fillId="0" borderId="0" xfId="0" applyNumberFormat="1" applyFont="1"/>
    <xf numFmtId="173" fontId="12" fillId="0" borderId="12" xfId="2" applyNumberFormat="1" applyFont="1" applyFill="1" applyBorder="1"/>
    <xf numFmtId="44" fontId="11" fillId="0" borderId="0" xfId="1" applyFont="1"/>
    <xf numFmtId="44" fontId="11" fillId="0" borderId="0" xfId="0" applyNumberFormat="1" applyFont="1"/>
    <xf numFmtId="167" fontId="12" fillId="0" borderId="0" xfId="2" applyNumberFormat="1" applyFont="1" applyFill="1" applyAlignment="1">
      <alignment horizontal="right"/>
    </xf>
    <xf numFmtId="10" fontId="12" fillId="9" borderId="12" xfId="2" applyNumberFormat="1" applyFont="1" applyFill="1" applyBorder="1"/>
    <xf numFmtId="0" fontId="0" fillId="11" borderId="0" xfId="0" applyFill="1"/>
    <xf numFmtId="0" fontId="31" fillId="0" borderId="0" xfId="0" applyFont="1"/>
    <xf numFmtId="0" fontId="30" fillId="2" borderId="0" xfId="0" applyFont="1" applyFill="1"/>
    <xf numFmtId="0" fontId="0" fillId="6" borderId="0" xfId="0" applyFill="1"/>
    <xf numFmtId="0" fontId="29" fillId="0" borderId="19" xfId="0" applyFont="1" applyBorder="1"/>
    <xf numFmtId="0" fontId="0" fillId="0" borderId="19" xfId="0" applyBorder="1"/>
    <xf numFmtId="0" fontId="0" fillId="6" borderId="19" xfId="0" applyFill="1" applyBorder="1"/>
    <xf numFmtId="0" fontId="0" fillId="0" borderId="17" xfId="0" applyBorder="1"/>
    <xf numFmtId="0" fontId="0" fillId="0" borderId="14" xfId="0" applyBorder="1"/>
    <xf numFmtId="0" fontId="0" fillId="0" borderId="15" xfId="0" applyBorder="1"/>
    <xf numFmtId="0" fontId="0" fillId="0" borderId="12" xfId="0" applyBorder="1"/>
    <xf numFmtId="0" fontId="0" fillId="0" borderId="4" xfId="0" applyBorder="1"/>
    <xf numFmtId="0" fontId="30" fillId="2" borderId="0" xfId="0" applyFont="1" applyFill="1" applyAlignment="1">
      <alignment horizontal="center"/>
    </xf>
    <xf numFmtId="0" fontId="30" fillId="2" borderId="15" xfId="0" applyFont="1" applyFill="1" applyBorder="1"/>
    <xf numFmtId="0" fontId="29" fillId="0" borderId="33" xfId="0" applyFont="1" applyBorder="1"/>
    <xf numFmtId="0" fontId="29" fillId="0" borderId="16" xfId="0" applyFont="1" applyBorder="1"/>
    <xf numFmtId="0" fontId="0" fillId="0" borderId="11" xfId="0" applyBorder="1"/>
    <xf numFmtId="0" fontId="29" fillId="0" borderId="11" xfId="0" applyFont="1" applyBorder="1"/>
    <xf numFmtId="41" fontId="0" fillId="6" borderId="0" xfId="0" applyNumberFormat="1" applyFill="1"/>
    <xf numFmtId="41" fontId="0" fillId="6" borderId="19" xfId="0" applyNumberFormat="1" applyFill="1" applyBorder="1"/>
    <xf numFmtId="10" fontId="0" fillId="0" borderId="18" xfId="0" applyNumberFormat="1" applyBorder="1"/>
    <xf numFmtId="9" fontId="0" fillId="0" borderId="15" xfId="2" applyFont="1" applyBorder="1"/>
    <xf numFmtId="41" fontId="0" fillId="0" borderId="15" xfId="0" applyNumberFormat="1" applyBorder="1"/>
    <xf numFmtId="10" fontId="0" fillId="0" borderId="15" xfId="0" applyNumberFormat="1" applyBorder="1"/>
    <xf numFmtId="10" fontId="0" fillId="11" borderId="18" xfId="0" applyNumberFormat="1" applyFill="1" applyBorder="1"/>
    <xf numFmtId="10" fontId="0" fillId="0" borderId="0" xfId="0" applyNumberFormat="1"/>
    <xf numFmtId="44" fontId="32" fillId="0" borderId="0" xfId="1" applyFont="1"/>
    <xf numFmtId="0" fontId="33" fillId="2" borderId="0" xfId="0" applyFont="1" applyFill="1"/>
    <xf numFmtId="44" fontId="33" fillId="2" borderId="0" xfId="0" applyNumberFormat="1" applyFont="1" applyFill="1"/>
    <xf numFmtId="0" fontId="29" fillId="0" borderId="0" xfId="0" applyFont="1"/>
    <xf numFmtId="44" fontId="0" fillId="0" borderId="0" xfId="1" applyFont="1"/>
    <xf numFmtId="175" fontId="35" fillId="0" borderId="0" xfId="1" applyNumberFormat="1" applyFont="1"/>
    <xf numFmtId="175" fontId="35" fillId="0" borderId="19" xfId="1" applyNumberFormat="1" applyFont="1" applyBorder="1"/>
    <xf numFmtId="175" fontId="0" fillId="0" borderId="19" xfId="1" applyNumberFormat="1" applyFont="1" applyBorder="1"/>
    <xf numFmtId="175" fontId="0" fillId="0" borderId="0" xfId="1" applyNumberFormat="1" applyFont="1"/>
    <xf numFmtId="175" fontId="0" fillId="6" borderId="19" xfId="1" applyNumberFormat="1" applyFont="1" applyFill="1" applyBorder="1"/>
    <xf numFmtId="44" fontId="0" fillId="0" borderId="15" xfId="1" applyFont="1" applyBorder="1"/>
    <xf numFmtId="44" fontId="0" fillId="0" borderId="18" xfId="1" applyFont="1" applyBorder="1"/>
    <xf numFmtId="175" fontId="0" fillId="0" borderId="15" xfId="1" applyNumberFormat="1" applyFont="1" applyBorder="1"/>
    <xf numFmtId="175" fontId="0" fillId="0" borderId="20" xfId="1" applyNumberFormat="1" applyFont="1" applyBorder="1"/>
    <xf numFmtId="44" fontId="0" fillId="0" borderId="13" xfId="1" applyFont="1" applyBorder="1"/>
    <xf numFmtId="175" fontId="0" fillId="0" borderId="13" xfId="1" applyNumberFormat="1" applyFont="1" applyBorder="1"/>
    <xf numFmtId="175" fontId="0" fillId="0" borderId="18" xfId="1" applyNumberFormat="1" applyFont="1" applyBorder="1"/>
    <xf numFmtId="176" fontId="0" fillId="0" borderId="0" xfId="0" applyNumberFormat="1"/>
    <xf numFmtId="10" fontId="0" fillId="6" borderId="0" xfId="0" applyNumberFormat="1" applyFill="1"/>
    <xf numFmtId="176" fontId="0" fillId="6" borderId="0" xfId="0" applyNumberFormat="1" applyFill="1"/>
    <xf numFmtId="174" fontId="0" fillId="6" borderId="0" xfId="0" applyNumberFormat="1" applyFill="1"/>
    <xf numFmtId="164" fontId="0" fillId="6" borderId="0" xfId="0" applyNumberFormat="1" applyFill="1"/>
    <xf numFmtId="0" fontId="0" fillId="0" borderId="0" xfId="0" applyAlignment="1">
      <alignment horizontal="left" indent="1"/>
    </xf>
    <xf numFmtId="0" fontId="0" fillId="0" borderId="14" xfId="0" applyBorder="1" applyAlignment="1">
      <alignment horizontal="left" indent="1"/>
    </xf>
    <xf numFmtId="0" fontId="29" fillId="0" borderId="14" xfId="0" applyFont="1" applyBorder="1" applyAlignment="1">
      <alignment horizontal="left" indent="1"/>
    </xf>
    <xf numFmtId="0" fontId="0" fillId="0" borderId="16" xfId="0" applyBorder="1" applyAlignment="1">
      <alignment horizontal="left" indent="1"/>
    </xf>
    <xf numFmtId="44" fontId="33" fillId="2" borderId="0" xfId="1" applyFont="1" applyFill="1"/>
    <xf numFmtId="0" fontId="36" fillId="0" borderId="18" xfId="0" applyFont="1" applyBorder="1"/>
    <xf numFmtId="164" fontId="36" fillId="0" borderId="15" xfId="2" applyNumberFormat="1" applyFont="1" applyBorder="1"/>
    <xf numFmtId="44" fontId="36" fillId="0" borderId="15" xfId="1" applyFont="1" applyBorder="1"/>
    <xf numFmtId="44" fontId="35" fillId="0" borderId="15" xfId="1" applyFont="1" applyBorder="1"/>
    <xf numFmtId="10" fontId="36" fillId="0" borderId="15" xfId="2" applyNumberFormat="1" applyFont="1" applyBorder="1"/>
    <xf numFmtId="0" fontId="36" fillId="0" borderId="15" xfId="0" applyFont="1" applyBorder="1"/>
    <xf numFmtId="9" fontId="36" fillId="0" borderId="15" xfId="2" applyFont="1" applyBorder="1"/>
    <xf numFmtId="10" fontId="36" fillId="0" borderId="15" xfId="2" applyNumberFormat="1" applyFont="1" applyBorder="1" applyAlignment="1"/>
    <xf numFmtId="43" fontId="35" fillId="0" borderId="15" xfId="0" applyNumberFormat="1" applyFont="1" applyBorder="1"/>
    <xf numFmtId="9" fontId="35" fillId="0" borderId="15" xfId="2" applyFont="1" applyBorder="1" applyAlignment="1"/>
    <xf numFmtId="177" fontId="35" fillId="0" borderId="15" xfId="0" applyNumberFormat="1" applyFont="1" applyBorder="1"/>
    <xf numFmtId="177" fontId="0" fillId="0" borderId="15" xfId="0" applyNumberFormat="1" applyBorder="1"/>
    <xf numFmtId="164" fontId="0" fillId="0" borderId="18" xfId="2" applyNumberFormat="1" applyFont="1" applyBorder="1"/>
    <xf numFmtId="0" fontId="33" fillId="2" borderId="14" xfId="0" applyFont="1" applyFill="1" applyBorder="1"/>
    <xf numFmtId="0" fontId="33" fillId="2" borderId="15" xfId="0" applyFont="1" applyFill="1" applyBorder="1"/>
    <xf numFmtId="0" fontId="32" fillId="0" borderId="0" xfId="0" applyFont="1"/>
    <xf numFmtId="2" fontId="33" fillId="2" borderId="0" xfId="0" applyNumberFormat="1" applyFont="1" applyFill="1"/>
    <xf numFmtId="44" fontId="32" fillId="0" borderId="0" xfId="1" applyFont="1" applyBorder="1"/>
    <xf numFmtId="0" fontId="11" fillId="6" borderId="0" xfId="0" applyFont="1" applyFill="1" applyAlignment="1">
      <alignment horizontal="center"/>
    </xf>
    <xf numFmtId="2" fontId="11" fillId="6" borderId="0" xfId="0" applyNumberFormat="1" applyFont="1" applyFill="1"/>
    <xf numFmtId="0" fontId="11" fillId="14" borderId="0" xfId="0" applyFont="1" applyFill="1"/>
    <xf numFmtId="44" fontId="32" fillId="14" borderId="0" xfId="1" applyFont="1" applyFill="1"/>
    <xf numFmtId="44" fontId="11" fillId="14" borderId="0" xfId="1" applyFont="1" applyFill="1"/>
    <xf numFmtId="0" fontId="32" fillId="14" borderId="0" xfId="0" applyFont="1" applyFill="1"/>
    <xf numFmtId="44" fontId="32" fillId="14" borderId="0" xfId="1" applyFont="1" applyFill="1" applyBorder="1"/>
    <xf numFmtId="2" fontId="11" fillId="14" borderId="0" xfId="0" applyNumberFormat="1" applyFont="1" applyFill="1"/>
    <xf numFmtId="0" fontId="15" fillId="7" borderId="0" xfId="0" applyFont="1" applyFill="1" applyAlignment="1">
      <alignment horizontal="center"/>
    </xf>
    <xf numFmtId="0" fontId="15" fillId="7" borderId="15" xfId="0" applyFont="1" applyFill="1" applyBorder="1" applyAlignment="1">
      <alignment horizontal="center"/>
    </xf>
    <xf numFmtId="0" fontId="9" fillId="8" borderId="0" xfId="0" applyFont="1" applyFill="1" applyAlignment="1">
      <alignment horizontal="center"/>
    </xf>
    <xf numFmtId="0" fontId="29" fillId="12" borderId="0" xfId="3" applyFont="1" applyBorder="1" applyAlignment="1">
      <alignment horizontal="center"/>
    </xf>
    <xf numFmtId="0" fontId="29" fillId="12" borderId="15" xfId="3" applyFont="1" applyBorder="1" applyAlignment="1">
      <alignment horizontal="center"/>
    </xf>
    <xf numFmtId="0" fontId="29" fillId="13" borderId="0" xfId="4" applyFont="1" applyAlignment="1">
      <alignment horizontal="center"/>
    </xf>
    <xf numFmtId="0" fontId="30" fillId="2" borderId="11" xfId="0" applyFont="1" applyFill="1" applyBorder="1" applyAlignment="1">
      <alignment horizontal="center"/>
    </xf>
    <xf numFmtId="0" fontId="30" fillId="2" borderId="12" xfId="0" applyFont="1" applyFill="1" applyBorder="1" applyAlignment="1">
      <alignment horizontal="center"/>
    </xf>
    <xf numFmtId="0" fontId="30" fillId="2" borderId="13" xfId="0" applyFont="1" applyFill="1" applyBorder="1" applyAlignment="1">
      <alignment horizontal="center"/>
    </xf>
    <xf numFmtId="44" fontId="30" fillId="2" borderId="11" xfId="1" applyFont="1" applyFill="1" applyBorder="1" applyAlignment="1">
      <alignment horizontal="center"/>
    </xf>
    <xf numFmtId="44" fontId="30" fillId="2" borderId="12" xfId="1" applyFont="1" applyFill="1" applyBorder="1" applyAlignment="1">
      <alignment horizontal="center"/>
    </xf>
    <xf numFmtId="44" fontId="30" fillId="2" borderId="13" xfId="1" applyFont="1" applyFill="1" applyBorder="1" applyAlignment="1">
      <alignment horizontal="center"/>
    </xf>
    <xf numFmtId="0" fontId="30" fillId="2" borderId="0" xfId="0" applyFont="1" applyFill="1" applyAlignment="1">
      <alignment horizontal="center"/>
    </xf>
    <xf numFmtId="0" fontId="31" fillId="0" borderId="16" xfId="0" applyFont="1" applyBorder="1" applyAlignment="1">
      <alignment horizontal="center"/>
    </xf>
    <xf numFmtId="0" fontId="31" fillId="0" borderId="17" xfId="0" applyFont="1" applyBorder="1" applyAlignment="1">
      <alignment horizontal="center"/>
    </xf>
    <xf numFmtId="0" fontId="31" fillId="0" borderId="18" xfId="0" applyFont="1" applyBorder="1" applyAlignment="1">
      <alignment horizontal="center"/>
    </xf>
    <xf numFmtId="0" fontId="0" fillId="0" borderId="0" xfId="0" applyAlignment="1">
      <alignment horizontal="center"/>
    </xf>
    <xf numFmtId="0" fontId="34" fillId="0" borderId="0" xfId="0" applyFont="1" applyAlignment="1">
      <alignment horizontal="center"/>
    </xf>
    <xf numFmtId="0" fontId="33" fillId="2" borderId="0" xfId="0" applyFont="1" applyFill="1" applyAlignment="1">
      <alignment horizontal="center"/>
    </xf>
  </cellXfs>
  <cellStyles count="5">
    <cellStyle name="40% - Accent1" xfId="3" builtinId="31"/>
    <cellStyle name="40% - Accent2" xfId="4" builtinId="35"/>
    <cellStyle name="Currency" xfId="1" builtinId="4"/>
    <cellStyle name="Normal" xfId="0" builtinId="0"/>
    <cellStyle name="Percent" xfId="2" builtinId="5"/>
  </cellStyles>
  <dxfs count="0"/>
  <tableStyles count="0" defaultTableStyle="TableStyleMedium2" defaultPivotStyle="PivotStyleLight16"/>
  <colors>
    <mruColors>
      <color rgb="FFEEECE1"/>
      <color rgb="FF148229"/>
      <color rgb="FF6A1510"/>
      <color rgb="FF1111FF"/>
      <color rgb="FFCCD1E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69850</xdr:colOff>
      <xdr:row>14</xdr:row>
      <xdr:rowOff>82550</xdr:rowOff>
    </xdr:from>
    <xdr:to>
      <xdr:col>12</xdr:col>
      <xdr:colOff>12700</xdr:colOff>
      <xdr:row>21</xdr:row>
      <xdr:rowOff>31750</xdr:rowOff>
    </xdr:to>
    <xdr:pic>
      <xdr:nvPicPr>
        <xdr:cNvPr id="2" name="Picture 1" descr="Indiana University Logo Png posted by Reginald Timothy">
          <a:extLst>
            <a:ext uri="{FF2B5EF4-FFF2-40B4-BE49-F238E27FC236}">
              <a16:creationId xmlns:a16="http://schemas.microsoft.com/office/drawing/2014/main" id="{D120AE4A-D2E9-4956-8647-CA6217443A9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003800" y="2759075"/>
          <a:ext cx="1162050" cy="1282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D50D4-162E-4722-8E02-B6B99CA3BB7F}">
  <dimension ref="B1:T29"/>
  <sheetViews>
    <sheetView showGridLines="0" zoomScale="115" zoomScaleNormal="115" workbookViewId="0">
      <selection activeCell="H36" sqref="H36"/>
    </sheetView>
  </sheetViews>
  <sheetFormatPr defaultRowHeight="14.5" x14ac:dyDescent="0.35"/>
  <cols>
    <col min="2" max="2" width="10.81640625" bestFit="1" customWidth="1"/>
  </cols>
  <sheetData>
    <row r="1" spans="2:20" s="1" customFormat="1" ht="15.5" x14ac:dyDescent="0.35">
      <c r="B1" s="2" t="s">
        <v>0</v>
      </c>
    </row>
    <row r="2" spans="2:20" s="1" customFormat="1" x14ac:dyDescent="0.35">
      <c r="B2" s="4" t="s">
        <v>1</v>
      </c>
    </row>
    <row r="3" spans="2:20" s="1" customFormat="1" x14ac:dyDescent="0.35">
      <c r="B3" s="3">
        <f ca="1">TODAY()</f>
        <v>45941</v>
      </c>
    </row>
    <row r="5" spans="2:20" x14ac:dyDescent="0.35">
      <c r="B5" s="28" t="s">
        <v>179</v>
      </c>
      <c r="C5" s="232"/>
    </row>
    <row r="10" spans="2:20" x14ac:dyDescent="0.35">
      <c r="C10" s="5"/>
      <c r="D10" s="5"/>
      <c r="E10" s="5"/>
      <c r="F10" s="5"/>
      <c r="G10" s="5"/>
      <c r="H10" s="5"/>
      <c r="I10" s="5"/>
      <c r="J10" s="5"/>
      <c r="K10" s="5"/>
      <c r="L10" s="5"/>
      <c r="M10" s="5"/>
      <c r="N10" s="5"/>
      <c r="O10" s="5"/>
      <c r="P10" s="5"/>
      <c r="Q10" s="5"/>
      <c r="R10" s="5"/>
      <c r="S10" s="5"/>
      <c r="T10" s="5"/>
    </row>
    <row r="11" spans="2:20" x14ac:dyDescent="0.35">
      <c r="C11" s="5"/>
      <c r="D11" s="1"/>
      <c r="E11" s="1"/>
      <c r="F11" s="1"/>
      <c r="G11" s="6"/>
      <c r="H11" s="1"/>
      <c r="I11" s="1"/>
      <c r="J11" s="1"/>
      <c r="K11" s="1"/>
      <c r="L11" s="1"/>
      <c r="M11" s="1"/>
      <c r="N11" s="1"/>
      <c r="O11" s="1"/>
      <c r="P11" s="1"/>
      <c r="Q11" s="6"/>
      <c r="R11" s="1"/>
      <c r="S11" s="1"/>
      <c r="T11" s="5"/>
    </row>
    <row r="12" spans="2:20" x14ac:dyDescent="0.35">
      <c r="C12" s="5"/>
      <c r="D12" s="1"/>
      <c r="E12" s="1"/>
      <c r="F12" s="1"/>
      <c r="G12" s="6"/>
      <c r="H12" s="1"/>
      <c r="I12" s="1"/>
      <c r="J12" s="1"/>
      <c r="K12" s="1"/>
      <c r="L12" s="1"/>
      <c r="M12" s="1"/>
      <c r="N12" s="1"/>
      <c r="O12" s="1"/>
      <c r="P12" s="1"/>
      <c r="Q12" s="1"/>
      <c r="R12" s="1"/>
      <c r="S12" s="1"/>
      <c r="T12" s="5"/>
    </row>
    <row r="13" spans="2:20" x14ac:dyDescent="0.35">
      <c r="C13" s="5"/>
      <c r="D13" s="1"/>
      <c r="E13" s="1"/>
      <c r="F13" s="1"/>
      <c r="G13" s="6"/>
      <c r="H13" s="1"/>
      <c r="I13" s="1"/>
      <c r="J13" s="1"/>
      <c r="K13" s="1"/>
      <c r="L13" s="1"/>
      <c r="M13" s="1"/>
      <c r="N13" s="1"/>
      <c r="O13" s="1"/>
      <c r="P13" s="1"/>
      <c r="Q13" s="1"/>
      <c r="R13" s="1"/>
      <c r="S13" s="1"/>
      <c r="T13" s="5"/>
    </row>
    <row r="14" spans="2:20" x14ac:dyDescent="0.35">
      <c r="C14" s="5"/>
      <c r="D14" s="1"/>
      <c r="E14" s="1"/>
      <c r="F14" s="1"/>
      <c r="G14" s="1"/>
      <c r="H14" s="1"/>
      <c r="I14" s="1"/>
      <c r="J14" s="1"/>
      <c r="K14" s="1"/>
      <c r="L14" s="1"/>
      <c r="M14" s="1"/>
      <c r="N14" s="1"/>
      <c r="O14" s="1"/>
      <c r="P14" s="1"/>
      <c r="Q14" s="1"/>
      <c r="R14" s="1"/>
      <c r="S14" s="1"/>
      <c r="T14" s="5"/>
    </row>
    <row r="15" spans="2:20" x14ac:dyDescent="0.35">
      <c r="C15" s="5"/>
      <c r="D15" s="1"/>
      <c r="E15" s="1"/>
      <c r="F15" s="1"/>
      <c r="G15" s="1"/>
      <c r="H15" s="1"/>
      <c r="I15" s="1"/>
      <c r="J15" s="1"/>
      <c r="K15" s="1"/>
      <c r="L15" s="1"/>
      <c r="M15" s="1"/>
      <c r="N15" s="1"/>
      <c r="O15" s="1"/>
      <c r="P15" s="1"/>
      <c r="Q15" s="1"/>
      <c r="R15" s="1"/>
      <c r="S15" s="1"/>
      <c r="T15" s="5"/>
    </row>
    <row r="16" spans="2:20" x14ac:dyDescent="0.35">
      <c r="C16" s="5"/>
      <c r="D16" s="1"/>
      <c r="E16" s="1"/>
      <c r="F16" s="1"/>
      <c r="G16" s="1"/>
      <c r="H16" s="1"/>
      <c r="I16" s="1"/>
      <c r="J16" s="1"/>
      <c r="K16" s="1"/>
      <c r="L16" s="1"/>
      <c r="M16" s="1"/>
      <c r="N16" s="1"/>
      <c r="O16" s="1"/>
      <c r="P16" s="1"/>
      <c r="Q16" s="1"/>
      <c r="R16" s="1"/>
      <c r="S16" s="1"/>
      <c r="T16" s="5"/>
    </row>
    <row r="17" spans="3:20" x14ac:dyDescent="0.35">
      <c r="C17" s="5"/>
      <c r="D17" s="1"/>
      <c r="E17" s="1"/>
      <c r="F17" s="1"/>
      <c r="G17" s="1"/>
      <c r="H17" s="1"/>
      <c r="I17" s="1"/>
      <c r="J17" s="1"/>
      <c r="K17" s="1"/>
      <c r="L17" s="1"/>
      <c r="M17" s="1"/>
      <c r="N17" s="1"/>
      <c r="O17" s="1"/>
      <c r="P17" s="1"/>
      <c r="Q17" s="1"/>
      <c r="R17" s="1"/>
      <c r="S17" s="1"/>
      <c r="T17" s="5"/>
    </row>
    <row r="18" spans="3:20" x14ac:dyDescent="0.35">
      <c r="C18" s="5"/>
      <c r="D18" s="1"/>
      <c r="E18" s="1"/>
      <c r="F18" s="1"/>
      <c r="G18" s="1"/>
      <c r="H18" s="1"/>
      <c r="I18" s="1"/>
      <c r="J18" s="1"/>
      <c r="K18" s="1"/>
      <c r="L18" s="1"/>
      <c r="M18" s="1"/>
      <c r="N18" s="1"/>
      <c r="O18" s="1"/>
      <c r="P18" s="1"/>
      <c r="Q18" s="1"/>
      <c r="R18" s="1"/>
      <c r="S18" s="1"/>
      <c r="T18" s="5"/>
    </row>
    <row r="19" spans="3:20" x14ac:dyDescent="0.35">
      <c r="C19" s="5"/>
      <c r="D19" s="1"/>
      <c r="E19" s="1"/>
      <c r="F19" s="1"/>
      <c r="G19" s="1"/>
      <c r="H19" s="1"/>
      <c r="I19" s="1"/>
      <c r="J19" s="1"/>
      <c r="K19" s="1"/>
      <c r="L19" s="1"/>
      <c r="M19" s="1"/>
      <c r="N19" s="1"/>
      <c r="O19" s="1"/>
      <c r="P19" s="1"/>
      <c r="Q19" s="1"/>
      <c r="R19" s="1"/>
      <c r="S19" s="1"/>
      <c r="T19" s="5"/>
    </row>
    <row r="20" spans="3:20" x14ac:dyDescent="0.35">
      <c r="C20" s="5"/>
      <c r="D20" s="1"/>
      <c r="E20" s="1"/>
      <c r="F20" s="1"/>
      <c r="G20" s="1"/>
      <c r="H20" s="1"/>
      <c r="I20" s="1"/>
      <c r="J20" s="1"/>
      <c r="K20" s="1"/>
      <c r="L20" s="1"/>
      <c r="M20" s="1"/>
      <c r="N20" s="1"/>
      <c r="O20" s="1"/>
      <c r="P20" s="1"/>
      <c r="Q20" s="1"/>
      <c r="R20" s="1"/>
      <c r="S20" s="1"/>
      <c r="T20" s="5"/>
    </row>
    <row r="21" spans="3:20" x14ac:dyDescent="0.35">
      <c r="C21" s="5"/>
      <c r="D21" s="1"/>
      <c r="E21" s="1"/>
      <c r="F21" s="1"/>
      <c r="G21" s="1"/>
      <c r="H21" s="1"/>
      <c r="I21" s="1"/>
      <c r="J21" s="1"/>
      <c r="K21" s="1"/>
      <c r="L21" s="1"/>
      <c r="M21" s="1"/>
      <c r="N21" s="1"/>
      <c r="O21" s="1"/>
      <c r="P21" s="1"/>
      <c r="Q21" s="1"/>
      <c r="R21" s="1"/>
      <c r="S21" s="1"/>
      <c r="T21" s="5"/>
    </row>
    <row r="22" spans="3:20" ht="31" x14ac:dyDescent="0.7">
      <c r="C22" s="7"/>
      <c r="D22" s="8" t="s">
        <v>0</v>
      </c>
      <c r="E22" s="9"/>
      <c r="F22" s="9"/>
      <c r="G22" s="9"/>
      <c r="H22" s="9"/>
      <c r="I22" s="9"/>
      <c r="J22" s="9"/>
      <c r="K22" s="9"/>
      <c r="L22" s="9"/>
      <c r="M22" s="9"/>
      <c r="N22" s="9"/>
      <c r="O22" s="9"/>
      <c r="P22" s="9"/>
      <c r="Q22" s="9"/>
      <c r="R22" s="9"/>
      <c r="S22" s="9"/>
      <c r="T22" s="7"/>
    </row>
    <row r="23" spans="3:20" x14ac:dyDescent="0.35">
      <c r="C23" s="5"/>
      <c r="D23" s="5"/>
      <c r="E23" s="5"/>
      <c r="F23" s="5"/>
      <c r="G23" s="5"/>
      <c r="H23" s="5"/>
      <c r="I23" s="5"/>
      <c r="J23" s="5"/>
      <c r="K23" s="5"/>
      <c r="L23" s="5"/>
      <c r="M23" s="5"/>
      <c r="N23" s="5"/>
      <c r="O23" s="5"/>
      <c r="P23" s="5"/>
      <c r="Q23" s="5"/>
      <c r="R23" s="5"/>
      <c r="S23" s="5"/>
      <c r="T23" s="5"/>
    </row>
    <row r="27" spans="3:20" x14ac:dyDescent="0.35">
      <c r="C27" s="5"/>
      <c r="D27" s="5"/>
      <c r="E27" s="5"/>
      <c r="F27" s="5"/>
      <c r="G27" s="5"/>
      <c r="H27" s="5"/>
      <c r="I27" s="5"/>
      <c r="J27" s="5"/>
      <c r="K27" s="5"/>
      <c r="L27" s="5"/>
      <c r="M27" s="5"/>
      <c r="N27" s="5"/>
      <c r="O27" s="5"/>
      <c r="P27" s="5"/>
      <c r="Q27" s="5"/>
      <c r="R27" s="5"/>
      <c r="S27" s="5"/>
      <c r="T27" s="5"/>
    </row>
    <row r="28" spans="3:20" ht="31" x14ac:dyDescent="0.7">
      <c r="C28" s="5"/>
      <c r="D28" s="10" t="str">
        <f>_xlfn.CONCAT("Operating Model by ",C5)</f>
        <v xml:space="preserve">Operating Model by </v>
      </c>
      <c r="E28" s="9"/>
      <c r="F28" s="9"/>
      <c r="G28" s="9"/>
      <c r="H28" s="9"/>
      <c r="I28" s="9"/>
      <c r="J28" s="9"/>
      <c r="K28" s="9"/>
      <c r="L28" s="9"/>
      <c r="M28" s="9"/>
      <c r="N28" s="9"/>
      <c r="O28" s="9"/>
      <c r="P28" s="9"/>
      <c r="Q28" s="9"/>
      <c r="R28" s="9"/>
      <c r="S28" s="9"/>
      <c r="T28" s="5"/>
    </row>
    <row r="29" spans="3:20" x14ac:dyDescent="0.35">
      <c r="C29" s="5"/>
      <c r="D29" s="5"/>
      <c r="E29" s="5"/>
      <c r="F29" s="5"/>
      <c r="G29" s="5"/>
      <c r="H29" s="5"/>
      <c r="I29" s="5"/>
      <c r="J29" s="5"/>
      <c r="K29" s="5"/>
      <c r="L29" s="5"/>
      <c r="M29" s="5"/>
      <c r="N29" s="5"/>
      <c r="O29" s="5"/>
      <c r="P29" s="5"/>
      <c r="Q29" s="5"/>
      <c r="R29" s="5"/>
      <c r="S29" s="5"/>
      <c r="T29" s="5"/>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C51611-C333-48DD-A154-73D08935D295}">
  <dimension ref="B1:Q15"/>
  <sheetViews>
    <sheetView showGridLines="0" topLeftCell="B1" zoomScale="82" workbookViewId="0">
      <selection activeCell="Q8" sqref="Q8"/>
    </sheetView>
  </sheetViews>
  <sheetFormatPr defaultColWidth="9.1796875" defaultRowHeight="13" x14ac:dyDescent="0.3"/>
  <cols>
    <col min="1" max="1" width="9.1796875" style="15"/>
    <col min="2" max="2" width="42.453125" style="15" bestFit="1" customWidth="1"/>
    <col min="3" max="3" width="10.54296875" style="15" bestFit="1" customWidth="1"/>
    <col min="4" max="4" width="13.81640625" style="15" customWidth="1"/>
    <col min="5" max="5" width="11" style="15" customWidth="1"/>
    <col min="6" max="6" width="10.26953125" style="15" customWidth="1"/>
    <col min="7" max="7" width="9.26953125" style="15" customWidth="1"/>
    <col min="8" max="8" width="11.54296875" style="15" customWidth="1"/>
    <col min="9" max="9" width="13.7265625" style="15" customWidth="1"/>
    <col min="10" max="10" width="12.54296875" style="15" customWidth="1"/>
    <col min="11" max="11" width="12.26953125" style="15" customWidth="1"/>
    <col min="12" max="12" width="15.54296875" style="15" customWidth="1"/>
    <col min="13" max="13" width="8.81640625" style="15" customWidth="1"/>
    <col min="14" max="14" width="14.54296875" style="15" customWidth="1"/>
    <col min="15" max="15" width="13.7265625" style="15" customWidth="1"/>
    <col min="16" max="16" width="19.1796875" style="15" bestFit="1" customWidth="1"/>
    <col min="17" max="17" width="14.453125" style="15" bestFit="1" customWidth="1"/>
    <col min="18" max="18" width="10.26953125" style="15" bestFit="1" customWidth="1"/>
    <col min="19" max="19" width="12.54296875" style="15" bestFit="1" customWidth="1"/>
    <col min="20" max="16384" width="9.1796875" style="15"/>
  </cols>
  <sheetData>
    <row r="1" spans="2:17" s="1" customFormat="1" ht="15.5" x14ac:dyDescent="0.35">
      <c r="B1" s="108" t="str">
        <f>Intro!B1</f>
        <v>Crocs Inc (CROX)</v>
      </c>
    </row>
    <row r="2" spans="2:17" s="1" customFormat="1" ht="14.5" x14ac:dyDescent="0.35">
      <c r="B2" s="110" t="s">
        <v>177</v>
      </c>
    </row>
    <row r="3" spans="2:17" s="1" customFormat="1" ht="14.5" x14ac:dyDescent="0.35">
      <c r="B3" s="111" t="s">
        <v>176</v>
      </c>
    </row>
    <row r="5" spans="2:17" x14ac:dyDescent="0.3">
      <c r="B5" s="298"/>
      <c r="C5" s="329" t="s">
        <v>254</v>
      </c>
      <c r="D5" s="329"/>
      <c r="E5" s="329"/>
      <c r="F5" s="329"/>
      <c r="G5" s="329" t="s">
        <v>255</v>
      </c>
      <c r="H5" s="329"/>
      <c r="I5" s="329"/>
      <c r="J5" s="329" t="s">
        <v>256</v>
      </c>
      <c r="K5" s="329"/>
      <c r="L5" s="329"/>
      <c r="M5" s="329"/>
      <c r="N5" s="329" t="s">
        <v>257</v>
      </c>
      <c r="O5" s="329"/>
      <c r="P5" s="329"/>
      <c r="Q5" s="329"/>
    </row>
    <row r="6" spans="2:17" x14ac:dyDescent="0.3">
      <c r="B6" s="298" t="s">
        <v>258</v>
      </c>
      <c r="C6" s="259" t="s">
        <v>244</v>
      </c>
      <c r="D6" s="259" t="s">
        <v>245</v>
      </c>
      <c r="E6" s="259" t="s">
        <v>246</v>
      </c>
      <c r="F6" s="259" t="s">
        <v>247</v>
      </c>
      <c r="G6" s="259" t="s">
        <v>185</v>
      </c>
      <c r="H6" s="259" t="s">
        <v>183</v>
      </c>
      <c r="I6" s="259" t="s">
        <v>17</v>
      </c>
      <c r="J6" s="259" t="s">
        <v>266</v>
      </c>
      <c r="K6" s="259" t="s">
        <v>267</v>
      </c>
      <c r="L6" s="259" t="s">
        <v>268</v>
      </c>
      <c r="M6" s="259" t="s">
        <v>269</v>
      </c>
      <c r="N6" s="259" t="s">
        <v>248</v>
      </c>
      <c r="O6" s="259" t="s">
        <v>249</v>
      </c>
      <c r="P6" s="259" t="s">
        <v>250</v>
      </c>
      <c r="Q6" s="299" t="s">
        <v>251</v>
      </c>
    </row>
    <row r="7" spans="2:17" x14ac:dyDescent="0.3">
      <c r="B7" s="15" t="s">
        <v>238</v>
      </c>
      <c r="C7" s="258">
        <v>118.5</v>
      </c>
      <c r="D7" s="258">
        <v>17580</v>
      </c>
      <c r="E7" s="258">
        <v>16170</v>
      </c>
      <c r="F7" s="258">
        <v>5124.8</v>
      </c>
      <c r="G7" s="258">
        <v>1280.5999999999999</v>
      </c>
      <c r="H7" s="258">
        <v>1351.4</v>
      </c>
      <c r="I7" s="258">
        <v>989.7</v>
      </c>
      <c r="J7" s="228">
        <f t="shared" ref="J7:J12" si="0">E7/F7</f>
        <v>3.1552450827349361</v>
      </c>
      <c r="K7" s="228">
        <f>E7/G7</f>
        <v>12.626893643604561</v>
      </c>
      <c r="L7" s="228">
        <f>E7/H7</f>
        <v>11.965369246707118</v>
      </c>
      <c r="M7" s="228">
        <f>C7/6.53</f>
        <v>18.147013782542114</v>
      </c>
      <c r="N7" s="300">
        <v>1.05</v>
      </c>
      <c r="O7" s="302">
        <v>277</v>
      </c>
      <c r="P7" s="302">
        <v>2513.0100000000002</v>
      </c>
      <c r="Q7" s="212">
        <f>N7/(1+(1-0.21)*O7/P7)</f>
        <v>0.96589130402951862</v>
      </c>
    </row>
    <row r="8" spans="2:17" x14ac:dyDescent="0.3">
      <c r="B8" s="305" t="s">
        <v>239</v>
      </c>
      <c r="C8" s="306">
        <v>46.26</v>
      </c>
      <c r="D8" s="306">
        <v>8510</v>
      </c>
      <c r="E8" s="306">
        <v>9770</v>
      </c>
      <c r="F8" s="306">
        <v>2026.9</v>
      </c>
      <c r="G8" s="306">
        <v>516.20000000000005</v>
      </c>
      <c r="H8" s="306">
        <v>627</v>
      </c>
      <c r="I8" s="306">
        <v>306.89999999999998</v>
      </c>
      <c r="J8" s="307">
        <f t="shared" si="0"/>
        <v>4.8201687305737826</v>
      </c>
      <c r="K8" s="307">
        <f>E8/G8</f>
        <v>18.926772568771792</v>
      </c>
      <c r="L8" s="307">
        <f>E8/H8</f>
        <v>15.58213716108453</v>
      </c>
      <c r="M8" s="307">
        <f>C8/1.64</f>
        <v>28.207317073170731</v>
      </c>
      <c r="N8" s="308">
        <v>1.2</v>
      </c>
      <c r="O8" s="309">
        <v>1350.07</v>
      </c>
      <c r="P8" s="309">
        <v>2625.02</v>
      </c>
      <c r="Q8" s="310">
        <f t="shared" ref="Q8:Q12" si="1">N8/(1+(1-0.21)*O8/P8)</f>
        <v>0.85330075753838741</v>
      </c>
    </row>
    <row r="9" spans="2:17" x14ac:dyDescent="0.3">
      <c r="B9" s="15" t="s">
        <v>240</v>
      </c>
      <c r="C9" s="258">
        <v>63.13</v>
      </c>
      <c r="D9" s="258">
        <v>9490</v>
      </c>
      <c r="E9" s="258">
        <v>10250</v>
      </c>
      <c r="F9" s="258">
        <v>9411.7000000000007</v>
      </c>
      <c r="G9" s="258">
        <v>837.1</v>
      </c>
      <c r="H9" s="258">
        <v>1066.2</v>
      </c>
      <c r="I9" s="258">
        <v>665.5</v>
      </c>
      <c r="J9" s="228">
        <f t="shared" si="0"/>
        <v>1.0890699873561629</v>
      </c>
      <c r="K9" s="228">
        <f>E9/G9</f>
        <v>12.244654163182416</v>
      </c>
      <c r="L9" s="228">
        <f>E9/H9</f>
        <v>9.6135809416619775</v>
      </c>
      <c r="M9" s="228">
        <f>C9/4.43</f>
        <v>14.25056433408578</v>
      </c>
      <c r="N9" s="300">
        <v>1.2</v>
      </c>
      <c r="O9" s="302">
        <v>1929.1</v>
      </c>
      <c r="P9" s="302">
        <v>4820.3</v>
      </c>
      <c r="Q9" s="212">
        <f t="shared" si="1"/>
        <v>0.91174282886545677</v>
      </c>
    </row>
    <row r="10" spans="2:17" x14ac:dyDescent="0.3">
      <c r="B10" s="305" t="s">
        <v>241</v>
      </c>
      <c r="C10" s="306">
        <v>30.53</v>
      </c>
      <c r="D10" s="306">
        <v>2480</v>
      </c>
      <c r="E10" s="306">
        <v>3200</v>
      </c>
      <c r="F10" s="306">
        <v>1821.4</v>
      </c>
      <c r="G10" s="306">
        <v>140</v>
      </c>
      <c r="H10" s="306">
        <v>165.4</v>
      </c>
      <c r="I10" s="306">
        <v>83.9</v>
      </c>
      <c r="J10" s="307">
        <f t="shared" si="0"/>
        <v>1.7568903041616337</v>
      </c>
      <c r="K10" s="307">
        <f>E10/G10</f>
        <v>22.857142857142858</v>
      </c>
      <c r="L10" s="307">
        <f>E10/H10</f>
        <v>19.347037484885128</v>
      </c>
      <c r="M10" s="307">
        <f>C10/1.04</f>
        <v>29.35576923076923</v>
      </c>
      <c r="N10" s="308">
        <v>1.82</v>
      </c>
      <c r="O10" s="309">
        <v>797.7</v>
      </c>
      <c r="P10" s="309">
        <v>316.5</v>
      </c>
      <c r="Q10" s="310">
        <f t="shared" si="1"/>
        <v>0.60847189608348295</v>
      </c>
    </row>
    <row r="11" spans="2:17" x14ac:dyDescent="0.3">
      <c r="B11" s="15" t="s">
        <v>242</v>
      </c>
      <c r="C11" s="258">
        <v>31.15</v>
      </c>
      <c r="D11" s="258">
        <v>2260</v>
      </c>
      <c r="E11" s="258">
        <v>2690</v>
      </c>
      <c r="F11" s="258">
        <v>2319.5</v>
      </c>
      <c r="G11" s="258">
        <v>135.6</v>
      </c>
      <c r="H11" s="258">
        <v>160</v>
      </c>
      <c r="I11" s="258">
        <v>91</v>
      </c>
      <c r="J11" s="228">
        <f t="shared" si="0"/>
        <v>1.1597327010131493</v>
      </c>
      <c r="K11" s="228">
        <f t="shared" ref="K11:K12" si="2">E11/G11</f>
        <v>19.837758112094395</v>
      </c>
      <c r="L11" s="228">
        <f t="shared" ref="L11:L12" si="3">E11/H11</f>
        <v>16.8125</v>
      </c>
      <c r="M11" s="228">
        <f>C11/1.29</f>
        <v>24.147286821705425</v>
      </c>
      <c r="N11" s="300">
        <v>1.22</v>
      </c>
      <c r="O11" s="302">
        <v>152.9</v>
      </c>
      <c r="P11" s="302">
        <v>875.9</v>
      </c>
      <c r="Q11" s="212">
        <f t="shared" si="1"/>
        <v>1.0721457302213022</v>
      </c>
    </row>
    <row r="12" spans="2:17" x14ac:dyDescent="0.3">
      <c r="B12" s="305" t="s">
        <v>243</v>
      </c>
      <c r="C12" s="306">
        <v>5.17</v>
      </c>
      <c r="D12" s="306">
        <v>4660</v>
      </c>
      <c r="E12" s="306">
        <v>3340</v>
      </c>
      <c r="F12" s="306">
        <v>2526.3000000000002</v>
      </c>
      <c r="G12" s="306">
        <v>881.5</v>
      </c>
      <c r="H12" s="306">
        <v>975.4</v>
      </c>
      <c r="I12" s="306">
        <v>810.8</v>
      </c>
      <c r="J12" s="307">
        <f t="shared" si="0"/>
        <v>1.3220915964058109</v>
      </c>
      <c r="K12" s="307">
        <f t="shared" si="2"/>
        <v>3.7889960294951788</v>
      </c>
      <c r="L12" s="307">
        <f t="shared" si="3"/>
        <v>3.424236210785319</v>
      </c>
      <c r="M12" s="307">
        <f>C12/0.9</f>
        <v>5.7444444444444445</v>
      </c>
      <c r="N12" s="308">
        <v>0.35</v>
      </c>
      <c r="O12" s="309">
        <v>88.8</v>
      </c>
      <c r="P12" s="309">
        <v>4040.9</v>
      </c>
      <c r="Q12" s="310">
        <f t="shared" si="1"/>
        <v>0.34402751412533822</v>
      </c>
    </row>
    <row r="13" spans="2:17" x14ac:dyDescent="0.3">
      <c r="B13" s="298" t="s">
        <v>252</v>
      </c>
      <c r="C13" s="260">
        <f>AVERAGE(C7:C12)</f>
        <v>49.123333333333328</v>
      </c>
      <c r="D13" s="260">
        <f t="shared" ref="D13:Q13" si="4">AVERAGE(D7:D12)</f>
        <v>7496.666666666667</v>
      </c>
      <c r="E13" s="260">
        <f t="shared" si="4"/>
        <v>7570</v>
      </c>
      <c r="F13" s="260">
        <f t="shared" si="4"/>
        <v>3871.7666666666669</v>
      </c>
      <c r="G13" s="260">
        <f t="shared" si="4"/>
        <v>631.83333333333337</v>
      </c>
      <c r="H13" s="260">
        <f t="shared" si="4"/>
        <v>724.23333333333346</v>
      </c>
      <c r="I13" s="260">
        <f t="shared" si="4"/>
        <v>491.3</v>
      </c>
      <c r="J13" s="284">
        <f t="shared" si="4"/>
        <v>2.2171997337075791</v>
      </c>
      <c r="K13" s="284">
        <f t="shared" si="4"/>
        <v>15.047036229048532</v>
      </c>
      <c r="L13" s="284">
        <f t="shared" si="4"/>
        <v>12.790810174187348</v>
      </c>
      <c r="M13" s="284">
        <f t="shared" si="4"/>
        <v>19.975399281119618</v>
      </c>
      <c r="N13" s="301">
        <f t="shared" si="4"/>
        <v>1.1399999999999999</v>
      </c>
      <c r="O13" s="260">
        <f t="shared" si="4"/>
        <v>765.92833333333328</v>
      </c>
      <c r="P13" s="260">
        <f t="shared" si="4"/>
        <v>2531.9383333333335</v>
      </c>
      <c r="Q13" s="301">
        <f t="shared" si="4"/>
        <v>0.79259667181058102</v>
      </c>
    </row>
    <row r="14" spans="2:17" x14ac:dyDescent="0.3">
      <c r="B14" s="298" t="s">
        <v>253</v>
      </c>
      <c r="C14" s="260">
        <f>MEDIAN(C7:C12)</f>
        <v>38.704999999999998</v>
      </c>
      <c r="D14" s="260">
        <f t="shared" ref="D14:Q14" si="5">MEDIAN(D7:D12)</f>
        <v>6585</v>
      </c>
      <c r="E14" s="260">
        <f t="shared" si="5"/>
        <v>6555</v>
      </c>
      <c r="F14" s="260">
        <f t="shared" si="5"/>
        <v>2422.9</v>
      </c>
      <c r="G14" s="260">
        <f t="shared" si="5"/>
        <v>676.65000000000009</v>
      </c>
      <c r="H14" s="260">
        <f t="shared" si="5"/>
        <v>801.2</v>
      </c>
      <c r="I14" s="260">
        <f t="shared" si="5"/>
        <v>486.2</v>
      </c>
      <c r="J14" s="284">
        <f t="shared" si="5"/>
        <v>1.5394909502837222</v>
      </c>
      <c r="K14" s="284">
        <f t="shared" si="5"/>
        <v>15.776833106188176</v>
      </c>
      <c r="L14" s="284">
        <f t="shared" si="5"/>
        <v>13.773753203895824</v>
      </c>
      <c r="M14" s="284">
        <f t="shared" si="5"/>
        <v>21.147150302123769</v>
      </c>
      <c r="N14" s="301">
        <f t="shared" si="5"/>
        <v>1.2</v>
      </c>
      <c r="O14" s="260">
        <f t="shared" si="5"/>
        <v>537.35</v>
      </c>
      <c r="P14" s="260">
        <f t="shared" si="5"/>
        <v>2569.0150000000003</v>
      </c>
      <c r="Q14" s="301">
        <f t="shared" si="5"/>
        <v>0.88252179320192203</v>
      </c>
    </row>
    <row r="15" spans="2:17" x14ac:dyDescent="0.3">
      <c r="P15" s="303" t="s">
        <v>270</v>
      </c>
      <c r="Q15" s="304">
        <f>Q13*(1+(1-0.21)*'DCF Valuation'!D57/'DCF Valuation'!D56)</f>
        <v>0.95122977347512505</v>
      </c>
    </row>
  </sheetData>
  <mergeCells count="4">
    <mergeCell ref="C5:F5"/>
    <mergeCell ref="G5:I5"/>
    <mergeCell ref="J5:M5"/>
    <mergeCell ref="N5:Q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ACAB6-9C12-48A6-9B42-1297801097F2}">
  <sheetPr>
    <tabColor rgb="FF6A1510"/>
  </sheetPr>
  <dimension ref="A1"/>
  <sheetViews>
    <sheetView showGridLines="0" workbookViewId="0">
      <selection activeCell="D37" sqref="D37"/>
    </sheetView>
  </sheetViews>
  <sheetFormatPr defaultRowHeight="14.5" x14ac:dyDescent="0.3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2A5C9-C33E-44C7-9A27-83D6F2DAA7AC}">
  <dimension ref="B1:L35"/>
  <sheetViews>
    <sheetView showGridLines="0" topLeftCell="A6" zoomScale="106" zoomScaleNormal="115" workbookViewId="0">
      <selection activeCell="E16" sqref="E16"/>
    </sheetView>
  </sheetViews>
  <sheetFormatPr defaultColWidth="9.1796875" defaultRowHeight="13" x14ac:dyDescent="0.3"/>
  <cols>
    <col min="1" max="1" width="9.1796875" style="15"/>
    <col min="2" max="2" width="32" style="15" bestFit="1" customWidth="1"/>
    <col min="3" max="5" width="10.1796875" style="15" bestFit="1" customWidth="1"/>
    <col min="6" max="6" width="14.54296875" style="15" bestFit="1" customWidth="1"/>
    <col min="7" max="10" width="14" style="15" bestFit="1" customWidth="1"/>
    <col min="11" max="16384" width="9.1796875" style="15"/>
  </cols>
  <sheetData>
    <row r="1" spans="2:10" s="1" customFormat="1" ht="15.5" x14ac:dyDescent="0.35">
      <c r="B1" s="2" t="str">
        <f>Intro!B1</f>
        <v>Crocs Inc (CROX)</v>
      </c>
    </row>
    <row r="2" spans="2:10" s="1" customFormat="1" ht="14.5" x14ac:dyDescent="0.35">
      <c r="B2" s="4" t="s">
        <v>2</v>
      </c>
    </row>
    <row r="3" spans="2:10" s="1" customFormat="1" ht="14.5" x14ac:dyDescent="0.35">
      <c r="B3" s="11" t="s">
        <v>3</v>
      </c>
    </row>
    <row r="5" spans="2:10" x14ac:dyDescent="0.3">
      <c r="C5" s="12" t="s">
        <v>4</v>
      </c>
      <c r="D5" s="12"/>
      <c r="E5" s="12"/>
      <c r="F5" s="13" t="s">
        <v>5</v>
      </c>
      <c r="G5" s="13"/>
      <c r="H5" s="13"/>
      <c r="I5" s="13"/>
      <c r="J5" s="13"/>
    </row>
    <row r="6" spans="2:10" x14ac:dyDescent="0.3">
      <c r="C6" s="14">
        <v>2022</v>
      </c>
      <c r="D6" s="14">
        <v>2023</v>
      </c>
      <c r="E6" s="14">
        <v>2024</v>
      </c>
      <c r="F6" s="14">
        <v>2025</v>
      </c>
      <c r="G6" s="14">
        <v>2026</v>
      </c>
      <c r="H6" s="14">
        <v>2027</v>
      </c>
      <c r="I6" s="14">
        <v>2028</v>
      </c>
      <c r="J6" s="14">
        <v>2029</v>
      </c>
    </row>
    <row r="7" spans="2:10" x14ac:dyDescent="0.3">
      <c r="B7" s="15" t="s">
        <v>6</v>
      </c>
      <c r="C7" s="27">
        <v>3554985</v>
      </c>
      <c r="D7" s="27">
        <v>3962347</v>
      </c>
      <c r="E7" s="27">
        <v>4102108</v>
      </c>
      <c r="F7" s="30">
        <f>E7*(1+F28)</f>
        <v>4225171.24</v>
      </c>
      <c r="G7" s="31">
        <f>F7*(1+G28)</f>
        <v>4341363.4491000008</v>
      </c>
      <c r="H7" s="31">
        <f>G7*(1+H28)</f>
        <v>4449897.5353275007</v>
      </c>
      <c r="I7" s="31">
        <f>H7*(1+I28)</f>
        <v>4550020.2298723692</v>
      </c>
      <c r="J7" s="31">
        <f>I7*(1+J28)</f>
        <v>4641020.6344698165</v>
      </c>
    </row>
    <row r="8" spans="2:10" ht="13.5" thickBot="1" x14ac:dyDescent="0.35">
      <c r="B8" s="15" t="s">
        <v>7</v>
      </c>
      <c r="C8" s="27">
        <v>1694703</v>
      </c>
      <c r="D8" s="27">
        <v>1752337</v>
      </c>
      <c r="E8" s="27">
        <v>1691850</v>
      </c>
      <c r="F8" s="30">
        <f>F7-F9</f>
        <v>1875121.4752247711</v>
      </c>
      <c r="G8" s="31">
        <f t="shared" ref="G8:J8" si="0">G7-G9</f>
        <v>1926687.3157934528</v>
      </c>
      <c r="H8" s="31">
        <f t="shared" si="0"/>
        <v>1974854.498688289</v>
      </c>
      <c r="I8" s="31">
        <f t="shared" si="0"/>
        <v>2019288.7249087752</v>
      </c>
      <c r="J8" s="31">
        <f t="shared" si="0"/>
        <v>2059674.499406951</v>
      </c>
    </row>
    <row r="9" spans="2:10" x14ac:dyDescent="0.3">
      <c r="B9" s="33" t="s">
        <v>8</v>
      </c>
      <c r="C9" s="32">
        <f>C7-C8</f>
        <v>1860282</v>
      </c>
      <c r="D9" s="32">
        <f t="shared" ref="D9:E9" si="1">D7-D8</f>
        <v>2210010</v>
      </c>
      <c r="E9" s="32">
        <f t="shared" si="1"/>
        <v>2410258</v>
      </c>
      <c r="F9" s="34">
        <f>F29*F7</f>
        <v>2350049.7647752292</v>
      </c>
      <c r="G9" s="35">
        <f>G29*G7</f>
        <v>2414676.133306548</v>
      </c>
      <c r="H9" s="35">
        <f>H29*H7</f>
        <v>2475043.0366392117</v>
      </c>
      <c r="I9" s="35">
        <f>I29*I7</f>
        <v>2530731.504963594</v>
      </c>
      <c r="J9" s="35">
        <f>J29*J7</f>
        <v>2581346.1350628654</v>
      </c>
    </row>
    <row r="10" spans="2:10" x14ac:dyDescent="0.3">
      <c r="F10" s="147"/>
    </row>
    <row r="11" spans="2:10" ht="13.5" thickBot="1" x14ac:dyDescent="0.35">
      <c r="B11" s="15" t="s">
        <v>9</v>
      </c>
      <c r="C11" s="27">
        <v>1009526</v>
      </c>
      <c r="D11" s="27">
        <v>1173227</v>
      </c>
      <c r="E11" s="27">
        <v>1388347</v>
      </c>
      <c r="F11" s="30">
        <f>F7*F30</f>
        <v>1293629.0178107074</v>
      </c>
      <c r="G11" s="31">
        <f>G7*G30</f>
        <v>1329203.8158005022</v>
      </c>
      <c r="H11" s="31">
        <f>H7*H30</f>
        <v>1362433.9111955147</v>
      </c>
      <c r="I11" s="31">
        <f>I7*I30</f>
        <v>1393088.6741974137</v>
      </c>
      <c r="J11" s="31">
        <f>J7*J30</f>
        <v>1420950.4476813618</v>
      </c>
    </row>
    <row r="12" spans="2:10" x14ac:dyDescent="0.3">
      <c r="B12" s="33" t="s">
        <v>10</v>
      </c>
      <c r="C12" s="32">
        <f>C9-C11</f>
        <v>850756</v>
      </c>
      <c r="D12" s="32">
        <f t="shared" ref="D12:E12" si="2">D9-D11</f>
        <v>1036783</v>
      </c>
      <c r="E12" s="36">
        <f t="shared" si="2"/>
        <v>1021911</v>
      </c>
      <c r="F12" s="34">
        <f>F9-F11</f>
        <v>1056420.7469645217</v>
      </c>
      <c r="G12" s="35">
        <f t="shared" ref="G12:J12" si="3">G9-G11</f>
        <v>1085472.3175060458</v>
      </c>
      <c r="H12" s="35">
        <f t="shared" si="3"/>
        <v>1112609.125443697</v>
      </c>
      <c r="I12" s="35">
        <f t="shared" si="3"/>
        <v>1137642.8307661803</v>
      </c>
      <c r="J12" s="35">
        <f t="shared" si="3"/>
        <v>1160395.6873815036</v>
      </c>
    </row>
    <row r="13" spans="2:10" x14ac:dyDescent="0.3">
      <c r="F13" s="147"/>
    </row>
    <row r="14" spans="2:10" x14ac:dyDescent="0.3">
      <c r="B14" s="15" t="s">
        <v>11</v>
      </c>
      <c r="C14" s="27">
        <v>3228</v>
      </c>
      <c r="D14" s="27">
        <v>-1240</v>
      </c>
      <c r="E14" s="27">
        <v>-6777</v>
      </c>
      <c r="F14" s="30">
        <f>F7*F33</f>
        <v>0</v>
      </c>
      <c r="G14" s="31">
        <f>G7*G33</f>
        <v>0</v>
      </c>
      <c r="H14" s="31">
        <f>H7*H33</f>
        <v>0</v>
      </c>
      <c r="I14" s="31">
        <f>I7*I33</f>
        <v>0</v>
      </c>
      <c r="J14" s="31">
        <f>J7*J33</f>
        <v>0</v>
      </c>
    </row>
    <row r="15" spans="2:10" x14ac:dyDescent="0.3">
      <c r="B15" s="15" t="s">
        <v>12</v>
      </c>
      <c r="C15" s="27">
        <v>1020</v>
      </c>
      <c r="D15" s="27">
        <v>2406</v>
      </c>
      <c r="E15" s="27">
        <v>3484</v>
      </c>
      <c r="F15" s="30">
        <f ca="1">F34*'Balance Sheet'!F8</f>
        <v>6184.7788858333906</v>
      </c>
      <c r="G15" s="31">
        <f ca="1">G34*'Balance Sheet'!G8</f>
        <v>12982.534287419167</v>
      </c>
      <c r="H15" s="31">
        <f ca="1">H34*'Balance Sheet'!H8</f>
        <v>18872.415361275347</v>
      </c>
      <c r="I15" s="31">
        <f ca="1">I34*'Balance Sheet'!I8</f>
        <v>24200.157543235062</v>
      </c>
      <c r="J15" s="221">
        <f ca="1">J34*'Balance Sheet'!J8</f>
        <v>20107.24807959385</v>
      </c>
    </row>
    <row r="16" spans="2:10" x14ac:dyDescent="0.3">
      <c r="B16" s="15" t="s">
        <v>13</v>
      </c>
      <c r="C16" s="27">
        <v>-136158</v>
      </c>
      <c r="D16" s="27">
        <v>-161351</v>
      </c>
      <c r="E16" s="27">
        <v>-109264</v>
      </c>
      <c r="F16" s="198">
        <f ca="1">-'Debt Schedule'!G101</f>
        <v>-77015.7</v>
      </c>
      <c r="G16" s="122">
        <f ca="1">-'Debt Schedule'!H101</f>
        <v>-67975.45</v>
      </c>
      <c r="H16" s="122">
        <f ca="1">-'Debt Schedule'!I101</f>
        <v>-64512.2</v>
      </c>
      <c r="I16" s="122">
        <f ca="1">-'Debt Schedule'!J101</f>
        <v>-64636.2</v>
      </c>
      <c r="J16" s="122">
        <f ca="1">-'Debt Schedule'!K101</f>
        <v>-44753.7</v>
      </c>
    </row>
    <row r="17" spans="2:12" ht="13.5" thickBot="1" x14ac:dyDescent="0.35">
      <c r="B17" s="15" t="s">
        <v>14</v>
      </c>
      <c r="C17" s="27">
        <v>-338</v>
      </c>
      <c r="D17" s="27">
        <v>-326</v>
      </c>
      <c r="E17" s="27">
        <v>1231</v>
      </c>
      <c r="F17" s="30">
        <f>F7*F32</f>
        <v>172.8621568108066</v>
      </c>
      <c r="G17" s="31">
        <f>G7*G32</f>
        <v>177.61586612310379</v>
      </c>
      <c r="H17" s="31">
        <f>H7*H32</f>
        <v>182.05626277618137</v>
      </c>
      <c r="I17" s="31">
        <f>I7*I32</f>
        <v>186.15252868864545</v>
      </c>
      <c r="J17" s="31">
        <f>J7*J32</f>
        <v>189.87557926241837</v>
      </c>
    </row>
    <row r="18" spans="2:12" x14ac:dyDescent="0.3">
      <c r="B18" s="33" t="s">
        <v>15</v>
      </c>
      <c r="C18" s="32">
        <f t="shared" ref="C18:J18" si="4">C12+SUM(C14:C17)</f>
        <v>718508</v>
      </c>
      <c r="D18" s="32">
        <f t="shared" si="4"/>
        <v>876272</v>
      </c>
      <c r="E18" s="36">
        <f t="shared" si="4"/>
        <v>910585</v>
      </c>
      <c r="F18" s="34">
        <f t="shared" ca="1" si="4"/>
        <v>985762.68800716591</v>
      </c>
      <c r="G18" s="35">
        <f t="shared" ca="1" si="4"/>
        <v>1030657.017659588</v>
      </c>
      <c r="H18" s="35">
        <f t="shared" ca="1" si="4"/>
        <v>1067151.3970677485</v>
      </c>
      <c r="I18" s="35">
        <f t="shared" ca="1" si="4"/>
        <v>1097392.9408381041</v>
      </c>
      <c r="J18" s="35">
        <f t="shared" ca="1" si="4"/>
        <v>1135939.1110403598</v>
      </c>
    </row>
    <row r="19" spans="2:12" x14ac:dyDescent="0.3">
      <c r="F19" s="147"/>
    </row>
    <row r="20" spans="2:12" ht="13.5" thickBot="1" x14ac:dyDescent="0.35">
      <c r="B20" s="15" t="s">
        <v>16</v>
      </c>
      <c r="C20" s="27">
        <v>178349</v>
      </c>
      <c r="D20" s="27">
        <v>83706</v>
      </c>
      <c r="E20" s="27">
        <v>-39486</v>
      </c>
      <c r="F20" s="30">
        <f ca="1">-F18*F35</f>
        <v>-207010.16448150482</v>
      </c>
      <c r="G20" s="31">
        <f ca="1">-G18*G35</f>
        <v>-216437.97370851348</v>
      </c>
      <c r="H20" s="31">
        <f ca="1">-H18*H35</f>
        <v>-224101.79338422717</v>
      </c>
      <c r="I20" s="31">
        <f ca="1">-I18*I35</f>
        <v>-230452.51757600185</v>
      </c>
      <c r="J20" s="31">
        <f ca="1">-J18*J35</f>
        <v>-238547.21331847555</v>
      </c>
    </row>
    <row r="21" spans="2:12" ht="13.5" thickTop="1" x14ac:dyDescent="0.3">
      <c r="B21" s="39" t="s">
        <v>17</v>
      </c>
      <c r="C21" s="40">
        <f>C18-C20</f>
        <v>540159</v>
      </c>
      <c r="D21" s="40">
        <f t="shared" ref="D21:E21" si="5">D18-D20</f>
        <v>792566</v>
      </c>
      <c r="E21" s="41">
        <f t="shared" si="5"/>
        <v>950071</v>
      </c>
      <c r="F21" s="34">
        <f ca="1">F18+F20</f>
        <v>778752.52352566109</v>
      </c>
      <c r="G21" s="35">
        <f ca="1">G18+G20</f>
        <v>814219.04395107459</v>
      </c>
      <c r="H21" s="35">
        <f ca="1">H18+H20</f>
        <v>843049.60368352127</v>
      </c>
      <c r="I21" s="35">
        <f ca="1">I18+I20</f>
        <v>866940.4232621023</v>
      </c>
      <c r="J21" s="35">
        <f ca="1">J18+J20</f>
        <v>897391.89772188431</v>
      </c>
    </row>
    <row r="22" spans="2:12" x14ac:dyDescent="0.3">
      <c r="B22" s="15" t="s">
        <v>18</v>
      </c>
      <c r="F22" s="30">
        <f ca="1">F21-F16-F15-F20+'Statement of Cash Flows'!F10-'Income Statement'!F14</f>
        <v>1124130.1930312917</v>
      </c>
      <c r="G22" s="31">
        <f ca="1">G21-G16-G15-G20+'Statement of Cash Flows'!G10-'Income Statement'!G14</f>
        <v>1168234.0325767407</v>
      </c>
      <c r="H22" s="31">
        <f ca="1">H21-H16-H15-H20+'Statement of Cash Flows'!H10-'Income Statement'!H14</f>
        <v>1212542.5234069733</v>
      </c>
      <c r="I22" s="31">
        <f ca="1">I21-I16-I15-I20+'Statement of Cash Flows'!I10-'Income Statement'!I14</f>
        <v>1255851.4263374377</v>
      </c>
      <c r="J22" s="31">
        <f ca="1">J21-J16-J15-J20+'Statement of Cash Flows'!J10-'Income Statement'!J14</f>
        <v>1296458.7251708531</v>
      </c>
    </row>
    <row r="23" spans="2:12" x14ac:dyDescent="0.3">
      <c r="B23" s="15" t="s">
        <v>19</v>
      </c>
      <c r="C23" s="148"/>
      <c r="D23" s="148"/>
      <c r="E23" s="148"/>
      <c r="F23" s="220"/>
      <c r="G23" s="212"/>
      <c r="H23" s="212"/>
      <c r="I23" s="212"/>
      <c r="J23" s="212"/>
    </row>
    <row r="24" spans="2:12" x14ac:dyDescent="0.3">
      <c r="B24" s="15" t="s">
        <v>20</v>
      </c>
      <c r="F24" s="225">
        <f ca="1">'Balance Sheet'!F37/'Income Statement'!F22</f>
        <v>1.0341072655163894</v>
      </c>
      <c r="G24" s="226">
        <f ca="1">'Balance Sheet'!G37/'Income Statement'!G22</f>
        <v>0.99774819727607278</v>
      </c>
      <c r="H24" s="226">
        <f ca="1">'Balance Sheet'!H37/'Income Statement'!H22</f>
        <v>0.96387184567854511</v>
      </c>
      <c r="I24" s="226">
        <f ca="1">'Balance Sheet'!I37/'Income Statement'!I22</f>
        <v>0.93312614487975898</v>
      </c>
      <c r="J24" s="226">
        <f ca="1">'Balance Sheet'!J37/'Income Statement'!J22</f>
        <v>0.26996617262448924</v>
      </c>
    </row>
    <row r="25" spans="2:12" x14ac:dyDescent="0.3">
      <c r="F25" s="147"/>
    </row>
    <row r="26" spans="2:12" x14ac:dyDescent="0.3">
      <c r="C26" s="12" t="s">
        <v>4</v>
      </c>
      <c r="D26" s="12"/>
      <c r="E26" s="12"/>
      <c r="F26" s="29" t="s">
        <v>5</v>
      </c>
      <c r="G26" s="13"/>
      <c r="H26" s="13"/>
      <c r="I26" s="13"/>
      <c r="J26" s="13"/>
    </row>
    <row r="27" spans="2:12" x14ac:dyDescent="0.3">
      <c r="B27" s="16" t="s">
        <v>21</v>
      </c>
      <c r="C27" s="14">
        <v>2022</v>
      </c>
      <c r="D27" s="14">
        <v>2023</v>
      </c>
      <c r="E27" s="14">
        <v>2024</v>
      </c>
      <c r="F27" s="14">
        <v>2025</v>
      </c>
      <c r="G27" s="14">
        <v>2026</v>
      </c>
      <c r="H27" s="14">
        <v>2027</v>
      </c>
      <c r="I27" s="14">
        <v>2028</v>
      </c>
      <c r="J27" s="14">
        <v>2029</v>
      </c>
      <c r="L27" s="17" t="s">
        <v>22</v>
      </c>
    </row>
    <row r="28" spans="2:12" x14ac:dyDescent="0.3">
      <c r="B28" s="15" t="s">
        <v>23</v>
      </c>
      <c r="C28" s="18"/>
      <c r="D28" s="19">
        <f>D7/C7-1</f>
        <v>0.11458895044564188</v>
      </c>
      <c r="E28" s="19">
        <f>E7/D7-1</f>
        <v>3.5272276759203525E-2</v>
      </c>
      <c r="F28" s="20">
        <v>0.03</v>
      </c>
      <c r="G28" s="21">
        <f t="shared" ref="G28:J28" si="6">F28+$L$28</f>
        <v>2.75E-2</v>
      </c>
      <c r="H28" s="21">
        <f t="shared" si="6"/>
        <v>2.5000000000000001E-2</v>
      </c>
      <c r="I28" s="21">
        <f t="shared" si="6"/>
        <v>2.2500000000000003E-2</v>
      </c>
      <c r="J28" s="21">
        <f t="shared" si="6"/>
        <v>2.0000000000000004E-2</v>
      </c>
      <c r="L28" s="22">
        <v>-2.5000000000000001E-3</v>
      </c>
    </row>
    <row r="29" spans="2:12" x14ac:dyDescent="0.3">
      <c r="B29" s="15" t="s">
        <v>24</v>
      </c>
      <c r="C29" s="19">
        <f>C9/C7</f>
        <v>0.52328828391680982</v>
      </c>
      <c r="D29" s="19">
        <f>D9/D7</f>
        <v>0.55775276622668335</v>
      </c>
      <c r="E29" s="19">
        <f>E9/E7</f>
        <v>0.58756571011782233</v>
      </c>
      <c r="F29" s="23">
        <f>AVERAGE($C29:$E29)</f>
        <v>0.55620225342043861</v>
      </c>
      <c r="G29" s="21">
        <f t="shared" ref="G29:J29" si="7">AVERAGE($C$29:$E$29)</f>
        <v>0.55620225342043861</v>
      </c>
      <c r="H29" s="21">
        <f t="shared" si="7"/>
        <v>0.55620225342043861</v>
      </c>
      <c r="I29" s="21">
        <f t="shared" si="7"/>
        <v>0.55620225342043861</v>
      </c>
      <c r="J29" s="21">
        <f t="shared" si="7"/>
        <v>0.55620225342043861</v>
      </c>
      <c r="L29" s="24"/>
    </row>
    <row r="30" spans="2:12" x14ac:dyDescent="0.3">
      <c r="B30" s="15" t="s">
        <v>25</v>
      </c>
      <c r="C30" s="19">
        <f>C11/C7</f>
        <v>0.283974756574219</v>
      </c>
      <c r="D30" s="19">
        <f>D11/D7</f>
        <v>0.29609395643541569</v>
      </c>
      <c r="E30" s="19">
        <f>E11/E7</f>
        <v>0.33844720811836254</v>
      </c>
      <c r="F30" s="23">
        <f>AVERAGE($C30:$E30)</f>
        <v>0.30617197370933241</v>
      </c>
      <c r="G30" s="21">
        <f t="shared" ref="G30:J31" si="8">AVERAGE($C30:$E30)</f>
        <v>0.30617197370933241</v>
      </c>
      <c r="H30" s="21">
        <f t="shared" si="8"/>
        <v>0.30617197370933241</v>
      </c>
      <c r="I30" s="21">
        <f t="shared" si="8"/>
        <v>0.30617197370933241</v>
      </c>
      <c r="J30" s="21">
        <f t="shared" si="8"/>
        <v>0.30617197370933241</v>
      </c>
      <c r="L30" s="24"/>
    </row>
    <row r="31" spans="2:12" x14ac:dyDescent="0.3">
      <c r="B31" s="15" t="s">
        <v>26</v>
      </c>
      <c r="C31" s="19">
        <f>C12/C7</f>
        <v>0.23931352734259076</v>
      </c>
      <c r="D31" s="19">
        <f>D12/D7</f>
        <v>0.26165880979126765</v>
      </c>
      <c r="E31" s="19">
        <f>E12/E7</f>
        <v>0.24911850199945978</v>
      </c>
      <c r="F31" s="23">
        <f>F12/F7</f>
        <v>0.25003027971110625</v>
      </c>
      <c r="G31" s="21">
        <f t="shared" si="8"/>
        <v>0.25003027971110603</v>
      </c>
      <c r="H31" s="21">
        <f t="shared" si="8"/>
        <v>0.25003027971110603</v>
      </c>
      <c r="I31" s="21">
        <f t="shared" si="8"/>
        <v>0.25003027971110603</v>
      </c>
      <c r="J31" s="21">
        <f t="shared" si="8"/>
        <v>0.25003027971110603</v>
      </c>
      <c r="L31" s="24"/>
    </row>
    <row r="32" spans="2:12" x14ac:dyDescent="0.3">
      <c r="B32" s="15" t="s">
        <v>27</v>
      </c>
      <c r="C32" s="19">
        <f>C17/C7</f>
        <v>-9.5077757008820007E-5</v>
      </c>
      <c r="D32" s="19">
        <f>D17/D7</f>
        <v>-8.2274470156197833E-5</v>
      </c>
      <c r="E32" s="19">
        <f>E17/E7</f>
        <v>3.0008961246266551E-4</v>
      </c>
      <c r="F32" s="23">
        <f t="shared" ref="F32:J32" si="9">AVERAGE($C$32:$E$32)</f>
        <v>4.0912461765882554E-5</v>
      </c>
      <c r="G32" s="21">
        <f t="shared" si="9"/>
        <v>4.0912461765882554E-5</v>
      </c>
      <c r="H32" s="21">
        <f t="shared" si="9"/>
        <v>4.0912461765882554E-5</v>
      </c>
      <c r="I32" s="21">
        <f t="shared" si="9"/>
        <v>4.0912461765882554E-5</v>
      </c>
      <c r="J32" s="21">
        <f t="shared" si="9"/>
        <v>4.0912461765882554E-5</v>
      </c>
      <c r="L32" s="24"/>
    </row>
    <row r="33" spans="2:12" x14ac:dyDescent="0.3">
      <c r="B33" s="15" t="s">
        <v>28</v>
      </c>
      <c r="C33" s="19">
        <f>C14/C7</f>
        <v>9.0802070894813907E-4</v>
      </c>
      <c r="D33" s="19">
        <f>D14/D7</f>
        <v>-3.1294583740394265E-4</v>
      </c>
      <c r="E33" s="19">
        <f>E14/E7</f>
        <v>-1.6520774197071359E-3</v>
      </c>
      <c r="F33" s="23">
        <v>0</v>
      </c>
      <c r="G33" s="21">
        <v>0</v>
      </c>
      <c r="H33" s="21">
        <v>0</v>
      </c>
      <c r="I33" s="21">
        <v>0</v>
      </c>
      <c r="J33" s="21">
        <v>0</v>
      </c>
      <c r="L33" s="24"/>
    </row>
    <row r="34" spans="2:12" x14ac:dyDescent="0.3">
      <c r="B34" s="15" t="s">
        <v>29</v>
      </c>
      <c r="C34" s="19">
        <f>C15/'Balance Sheet'!C8</f>
        <v>5.3227296209903407E-3</v>
      </c>
      <c r="D34" s="19">
        <f>D15/'Balance Sheet'!D8</f>
        <v>1.6116283743050439E-2</v>
      </c>
      <c r="E34" s="19">
        <f>E15/'Balance Sheet'!E8</f>
        <v>1.9303543230739396E-2</v>
      </c>
      <c r="F34" s="25">
        <f>AVERAGE($C$34:$E$34)</f>
        <v>1.3580852198260059E-2</v>
      </c>
      <c r="G34" s="21">
        <f t="shared" ref="G34:J34" si="10">AVERAGE($C$34:$E$34)</f>
        <v>1.3580852198260059E-2</v>
      </c>
      <c r="H34" s="21">
        <f t="shared" si="10"/>
        <v>1.3580852198260059E-2</v>
      </c>
      <c r="I34" s="21">
        <f t="shared" si="10"/>
        <v>1.3580852198260059E-2</v>
      </c>
      <c r="J34" s="21">
        <f t="shared" si="10"/>
        <v>1.3580852198260059E-2</v>
      </c>
      <c r="L34" s="24"/>
    </row>
    <row r="35" spans="2:12" x14ac:dyDescent="0.3">
      <c r="B35" s="15" t="s">
        <v>30</v>
      </c>
      <c r="C35" s="19">
        <f>C20/C18</f>
        <v>0.24822131416769194</v>
      </c>
      <c r="D35" s="19">
        <f t="shared" ref="D35:E35" si="11">D20/D18</f>
        <v>9.5525133748425153E-2</v>
      </c>
      <c r="E35" s="19">
        <f t="shared" si="11"/>
        <v>-4.3363332363260981E-2</v>
      </c>
      <c r="F35" s="20">
        <v>0.21</v>
      </c>
      <c r="G35" s="21">
        <f>F35</f>
        <v>0.21</v>
      </c>
      <c r="H35" s="21">
        <f t="shared" ref="H35:J35" si="12">G35</f>
        <v>0.21</v>
      </c>
      <c r="I35" s="21">
        <f t="shared" si="12"/>
        <v>0.21</v>
      </c>
      <c r="J35" s="21">
        <f t="shared" si="12"/>
        <v>0.21</v>
      </c>
      <c r="L35" s="26"/>
    </row>
  </sheetData>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9B307F-2ACA-468B-AA8A-F2A2442C7D75}">
  <dimension ref="B1:M80"/>
  <sheetViews>
    <sheetView showGridLines="0" topLeftCell="A25" zoomScale="108" workbookViewId="0">
      <selection activeCell="B45" sqref="B45"/>
    </sheetView>
  </sheetViews>
  <sheetFormatPr defaultColWidth="9.1796875" defaultRowHeight="13" x14ac:dyDescent="0.3"/>
  <cols>
    <col min="1" max="1" width="9.1796875" style="15"/>
    <col min="2" max="2" width="39.1796875" style="15" bestFit="1" customWidth="1"/>
    <col min="3" max="6" width="10.7265625" style="15" bestFit="1" customWidth="1"/>
    <col min="7" max="10" width="11.54296875" style="15" bestFit="1" customWidth="1"/>
    <col min="11" max="12" width="9.1796875" style="15"/>
    <col min="13" max="13" width="9.7265625" style="15" bestFit="1" customWidth="1"/>
    <col min="14" max="16384" width="9.1796875" style="15"/>
  </cols>
  <sheetData>
    <row r="1" spans="2:13" s="1" customFormat="1" ht="15.5" x14ac:dyDescent="0.35">
      <c r="B1" s="2" t="str">
        <f>Intro!B1</f>
        <v>Crocs Inc (CROX)</v>
      </c>
    </row>
    <row r="2" spans="2:13" s="1" customFormat="1" ht="14.5" x14ac:dyDescent="0.35">
      <c r="B2" s="4" t="s">
        <v>31</v>
      </c>
    </row>
    <row r="3" spans="2:13" s="1" customFormat="1" ht="14.5" x14ac:dyDescent="0.35">
      <c r="B3" s="11" t="s">
        <v>3</v>
      </c>
    </row>
    <row r="5" spans="2:13" x14ac:dyDescent="0.3">
      <c r="C5" s="12" t="s">
        <v>4</v>
      </c>
      <c r="D5" s="12"/>
      <c r="E5" s="79"/>
      <c r="F5" s="13" t="s">
        <v>5</v>
      </c>
      <c r="G5" s="13"/>
      <c r="H5" s="13"/>
      <c r="I5" s="13"/>
      <c r="J5" s="13"/>
    </row>
    <row r="6" spans="2:13" x14ac:dyDescent="0.3">
      <c r="C6" s="14">
        <v>2022</v>
      </c>
      <c r="D6" s="14">
        <v>2023</v>
      </c>
      <c r="E6" s="80">
        <v>2024</v>
      </c>
      <c r="F6" s="14">
        <v>2025</v>
      </c>
      <c r="G6" s="14">
        <v>2026</v>
      </c>
      <c r="H6" s="14">
        <v>2027</v>
      </c>
      <c r="I6" s="14">
        <v>2028</v>
      </c>
      <c r="J6" s="14">
        <v>2029</v>
      </c>
      <c r="L6" s="196"/>
    </row>
    <row r="7" spans="2:13" x14ac:dyDescent="0.3">
      <c r="B7" s="28" t="s">
        <v>32</v>
      </c>
      <c r="E7" s="57"/>
    </row>
    <row r="8" spans="2:13" x14ac:dyDescent="0.3">
      <c r="B8" s="37" t="s">
        <v>33</v>
      </c>
      <c r="C8" s="27">
        <f>191629+2</f>
        <v>191631</v>
      </c>
      <c r="D8" s="27">
        <f>149288+2</f>
        <v>149290</v>
      </c>
      <c r="E8" s="179">
        <v>180485</v>
      </c>
      <c r="F8" s="31">
        <f ca="1">'Statement of Cash Flows'!F39</f>
        <v>455404.32923832035</v>
      </c>
      <c r="G8" s="31">
        <f ca="1">'Statement of Cash Flows'!G39</f>
        <v>955944.00836513436</v>
      </c>
      <c r="H8" s="31">
        <f ca="1">'Statement of Cash Flows'!H39</f>
        <v>1389634.1029094793</v>
      </c>
      <c r="I8" s="31">
        <f ca="1">'Statement of Cash Flows'!I39</f>
        <v>1781932.1784781311</v>
      </c>
      <c r="J8" s="31">
        <f ca="1">'Statement of Cash Flows'!J39</f>
        <v>1480558.6413914389</v>
      </c>
      <c r="M8" s="31"/>
    </row>
    <row r="9" spans="2:13" x14ac:dyDescent="0.3">
      <c r="B9" s="37" t="s">
        <v>34</v>
      </c>
      <c r="C9" s="27">
        <v>295594</v>
      </c>
      <c r="D9" s="27">
        <v>305747</v>
      </c>
      <c r="E9" s="179">
        <v>257657</v>
      </c>
      <c r="F9" s="94">
        <f>F60/365.25*'Income Statement'!F7</f>
        <v>314244.48812118004</v>
      </c>
      <c r="G9" s="94">
        <f>G60/365.25*'Income Statement'!G7</f>
        <v>322886.21154451254</v>
      </c>
      <c r="H9" s="94">
        <f>H60/365.25*'Income Statement'!H7</f>
        <v>330958.3668331253</v>
      </c>
      <c r="I9" s="94">
        <f>I60/365.25*'Income Statement'!I7</f>
        <v>338404.93008687062</v>
      </c>
      <c r="J9" s="94">
        <f>J60/365.25*'Income Statement'!J7</f>
        <v>345173.02868860803</v>
      </c>
      <c r="M9" s="31"/>
    </row>
    <row r="10" spans="2:13" x14ac:dyDescent="0.3">
      <c r="B10" s="37" t="s">
        <v>35</v>
      </c>
      <c r="C10" s="27">
        <v>471551</v>
      </c>
      <c r="D10" s="27">
        <v>385054</v>
      </c>
      <c r="E10" s="179">
        <v>356254</v>
      </c>
      <c r="F10" s="94">
        <f>F61/365.25*'Income Statement'!F8</f>
        <v>442877.45689316961</v>
      </c>
      <c r="G10" s="94">
        <f>G61/365.25*'Income Statement'!G8</f>
        <v>455056.58695773187</v>
      </c>
      <c r="H10" s="94">
        <f>H61/365.25*'Income Statement'!H8</f>
        <v>466433.00163167517</v>
      </c>
      <c r="I10" s="94">
        <f>I61/365.25*'Income Statement'!I8</f>
        <v>476927.74416838778</v>
      </c>
      <c r="J10" s="94">
        <f>J61/365.25*'Income Statement'!J8</f>
        <v>486466.29905175563</v>
      </c>
      <c r="M10" s="31"/>
    </row>
    <row r="11" spans="2:13" x14ac:dyDescent="0.3">
      <c r="B11" s="37" t="s">
        <v>36</v>
      </c>
      <c r="C11" s="27">
        <v>14752</v>
      </c>
      <c r="D11" s="27">
        <v>4413</v>
      </c>
      <c r="E11" s="179">
        <v>4046</v>
      </c>
      <c r="F11" s="94">
        <f>F62</f>
        <v>4046</v>
      </c>
      <c r="G11" s="94">
        <f t="shared" ref="G11:J11" si="0">G62</f>
        <v>4046</v>
      </c>
      <c r="H11" s="94">
        <f t="shared" si="0"/>
        <v>4046</v>
      </c>
      <c r="I11" s="94">
        <f t="shared" si="0"/>
        <v>4046</v>
      </c>
      <c r="J11" s="94">
        <f t="shared" si="0"/>
        <v>4046</v>
      </c>
      <c r="M11" s="31"/>
    </row>
    <row r="12" spans="2:13" x14ac:dyDescent="0.3">
      <c r="B12" s="37" t="s">
        <v>37</v>
      </c>
      <c r="C12" s="27">
        <v>18842</v>
      </c>
      <c r="D12" s="27">
        <v>21071</v>
      </c>
      <c r="E12" s="179">
        <v>22204</v>
      </c>
      <c r="F12" s="94">
        <f>F63</f>
        <v>22204</v>
      </c>
      <c r="G12" s="94">
        <f t="shared" ref="G12:J12" si="1">G63</f>
        <v>22204</v>
      </c>
      <c r="H12" s="94">
        <f t="shared" si="1"/>
        <v>22204</v>
      </c>
      <c r="I12" s="94">
        <f t="shared" si="1"/>
        <v>22204</v>
      </c>
      <c r="J12" s="94">
        <f t="shared" si="1"/>
        <v>22204</v>
      </c>
      <c r="M12" s="31"/>
    </row>
    <row r="13" spans="2:13" ht="13.5" thickBot="1" x14ac:dyDescent="0.35">
      <c r="B13" s="37" t="s">
        <v>38</v>
      </c>
      <c r="C13" s="27">
        <v>33605</v>
      </c>
      <c r="D13" s="27">
        <v>45129</v>
      </c>
      <c r="E13" s="179">
        <v>51623</v>
      </c>
      <c r="F13" s="94">
        <f>F64*'Income Statement'!F8</f>
        <v>47562.952156629406</v>
      </c>
      <c r="G13" s="94">
        <f>G64*'Income Statement'!G8</f>
        <v>48870.933340936732</v>
      </c>
      <c r="H13" s="94">
        <f>H64*'Income Statement'!H8</f>
        <v>50092.706674460147</v>
      </c>
      <c r="I13" s="94">
        <f>I64*'Income Statement'!I8</f>
        <v>51219.792574635489</v>
      </c>
      <c r="J13" s="94">
        <f>J64*'Income Statement'!J8</f>
        <v>52244.18842612821</v>
      </c>
      <c r="M13" s="31"/>
    </row>
    <row r="14" spans="2:13" x14ac:dyDescent="0.3">
      <c r="B14" s="42" t="s">
        <v>39</v>
      </c>
      <c r="C14" s="35">
        <f>SUM(C8:C13)</f>
        <v>1025975</v>
      </c>
      <c r="D14" s="35">
        <f t="shared" ref="D14:F14" si="2">SUM(D8:D13)</f>
        <v>910704</v>
      </c>
      <c r="E14" s="180">
        <f t="shared" si="2"/>
        <v>872269</v>
      </c>
      <c r="F14" s="35">
        <f t="shared" ca="1" si="2"/>
        <v>1286339.2264092993</v>
      </c>
      <c r="G14" s="35">
        <f t="shared" ref="G14:J14" ca="1" si="3">SUM(G8:G13)</f>
        <v>1809007.7402083154</v>
      </c>
      <c r="H14" s="35">
        <f t="shared" ca="1" si="3"/>
        <v>2263368.1780487401</v>
      </c>
      <c r="I14" s="35">
        <f t="shared" ca="1" si="3"/>
        <v>2674734.6453080252</v>
      </c>
      <c r="J14" s="35">
        <f t="shared" ca="1" si="3"/>
        <v>2390692.1575579308</v>
      </c>
      <c r="M14" s="31"/>
    </row>
    <row r="15" spans="2:13" x14ac:dyDescent="0.3">
      <c r="E15" s="57"/>
      <c r="M15" s="31"/>
    </row>
    <row r="16" spans="2:13" x14ac:dyDescent="0.3">
      <c r="B16" s="37" t="s">
        <v>40</v>
      </c>
      <c r="C16" s="27">
        <v>181529</v>
      </c>
      <c r="D16" s="27">
        <v>238315</v>
      </c>
      <c r="E16" s="179">
        <v>244335</v>
      </c>
      <c r="F16" s="96">
        <f>'Asset Schedule'!F11</f>
        <v>326817.11202348792</v>
      </c>
      <c r="G16" s="96">
        <f>'Asset Schedule'!G11</f>
        <v>420802.51195309754</v>
      </c>
      <c r="H16" s="96">
        <f>'Asset Schedule'!H11</f>
        <v>520775.91631544626</v>
      </c>
      <c r="I16" s="96">
        <f>'Asset Schedule'!I11</f>
        <v>618462.00280213461</v>
      </c>
      <c r="J16" s="96">
        <f>'Asset Schedule'!J11</f>
        <v>703548.74643879896</v>
      </c>
      <c r="M16" s="31"/>
    </row>
    <row r="17" spans="2:13" x14ac:dyDescent="0.3">
      <c r="B17" s="37" t="s">
        <v>41</v>
      </c>
      <c r="C17" s="27">
        <v>1800167</v>
      </c>
      <c r="D17" s="27">
        <v>1792562</v>
      </c>
      <c r="E17" s="179">
        <v>1777080</v>
      </c>
      <c r="F17" s="96">
        <f>'Asset Schedule'!F16</f>
        <v>1765652.1242340668</v>
      </c>
      <c r="G17" s="96">
        <f>'Asset Schedule'!G16</f>
        <v>1754297.7377564725</v>
      </c>
      <c r="H17" s="96">
        <f>'Asset Schedule'!H16</f>
        <v>1743016.3679793444</v>
      </c>
      <c r="I17" s="96">
        <f>'Asset Schedule'!I16</f>
        <v>1731807.5453538822</v>
      </c>
      <c r="J17" s="96">
        <f>'Asset Schedule'!J16</f>
        <v>1720670.8033508153</v>
      </c>
      <c r="M17" s="31"/>
    </row>
    <row r="18" spans="2:13" x14ac:dyDescent="0.3">
      <c r="B18" s="37" t="s">
        <v>42</v>
      </c>
      <c r="C18" s="27">
        <v>714814</v>
      </c>
      <c r="D18" s="27">
        <v>711588</v>
      </c>
      <c r="E18" s="179">
        <v>711491</v>
      </c>
      <c r="F18" s="94">
        <f>E18</f>
        <v>711491</v>
      </c>
      <c r="G18" s="94">
        <f t="shared" ref="G18:J18" si="4">F18</f>
        <v>711491</v>
      </c>
      <c r="H18" s="94">
        <f t="shared" si="4"/>
        <v>711491</v>
      </c>
      <c r="I18" s="94">
        <f t="shared" si="4"/>
        <v>711491</v>
      </c>
      <c r="J18" s="94">
        <f t="shared" si="4"/>
        <v>711491</v>
      </c>
      <c r="M18" s="31"/>
    </row>
    <row r="19" spans="2:13" x14ac:dyDescent="0.3">
      <c r="B19" s="37" t="s">
        <v>43</v>
      </c>
      <c r="C19" s="27">
        <v>528278</v>
      </c>
      <c r="D19" s="27">
        <v>667972</v>
      </c>
      <c r="E19" s="179">
        <v>872350</v>
      </c>
      <c r="F19" s="94">
        <f>F65</f>
        <v>872350</v>
      </c>
      <c r="G19" s="94">
        <f t="shared" ref="G19:J19" si="5">G65</f>
        <v>872350</v>
      </c>
      <c r="H19" s="94">
        <f t="shared" si="5"/>
        <v>872350</v>
      </c>
      <c r="I19" s="94">
        <f t="shared" si="5"/>
        <v>872350</v>
      </c>
      <c r="J19" s="94">
        <f t="shared" si="5"/>
        <v>872350</v>
      </c>
      <c r="M19" s="31"/>
    </row>
    <row r="20" spans="2:13" x14ac:dyDescent="0.3">
      <c r="B20" s="37" t="s">
        <v>44</v>
      </c>
      <c r="C20" s="27">
        <v>3254</v>
      </c>
      <c r="D20" s="27">
        <v>3807</v>
      </c>
      <c r="E20" s="179">
        <v>3193</v>
      </c>
      <c r="F20" s="94">
        <f>'Balance Sheet'!F66</f>
        <v>3193</v>
      </c>
      <c r="G20" s="94">
        <f>'Balance Sheet'!G66</f>
        <v>3193</v>
      </c>
      <c r="H20" s="94">
        <f>'Balance Sheet'!H66</f>
        <v>3193</v>
      </c>
      <c r="I20" s="94">
        <f>'Balance Sheet'!I66</f>
        <v>3193</v>
      </c>
      <c r="J20" s="94">
        <f>'Balance Sheet'!J66</f>
        <v>3193</v>
      </c>
      <c r="M20" s="31"/>
    </row>
    <row r="21" spans="2:13" x14ac:dyDescent="0.3">
      <c r="B21" s="37" t="s">
        <v>45</v>
      </c>
      <c r="C21" s="27">
        <v>239905</v>
      </c>
      <c r="D21" s="27">
        <v>287440</v>
      </c>
      <c r="E21" s="179">
        <v>307228</v>
      </c>
      <c r="F21" s="94">
        <f>F67</f>
        <v>307228</v>
      </c>
      <c r="G21" s="94">
        <f t="shared" ref="G21:J21" si="6">G67</f>
        <v>307228</v>
      </c>
      <c r="H21" s="94">
        <f t="shared" si="6"/>
        <v>307228</v>
      </c>
      <c r="I21" s="94">
        <f t="shared" si="6"/>
        <v>307228</v>
      </c>
      <c r="J21" s="94">
        <f t="shared" si="6"/>
        <v>307228</v>
      </c>
      <c r="M21" s="31"/>
    </row>
    <row r="22" spans="2:13" ht="13.5" thickBot="1" x14ac:dyDescent="0.35">
      <c r="B22" s="37" t="s">
        <v>46</v>
      </c>
      <c r="C22" s="27">
        <v>7875</v>
      </c>
      <c r="D22" s="27">
        <v>31446</v>
      </c>
      <c r="E22" s="179">
        <v>24207</v>
      </c>
      <c r="F22" s="94">
        <f>F68*'Income Statement'!F7</f>
        <v>22608.211070563069</v>
      </c>
      <c r="G22" s="94">
        <f>G68*'Income Statement'!G7</f>
        <v>23229.936875003557</v>
      </c>
      <c r="H22" s="94">
        <f>H68*'Income Statement'!H7</f>
        <v>23810.685296878648</v>
      </c>
      <c r="I22" s="94">
        <f>I68*'Income Statement'!I7</f>
        <v>24346.425716058413</v>
      </c>
      <c r="J22" s="94">
        <f>J68*'Income Statement'!J7</f>
        <v>24833.354230379584</v>
      </c>
      <c r="M22" s="31"/>
    </row>
    <row r="23" spans="2:13" x14ac:dyDescent="0.3">
      <c r="B23" s="42" t="s">
        <v>47</v>
      </c>
      <c r="C23" s="35">
        <f t="shared" ref="C23:J23" si="7">SUM(C16:C22)</f>
        <v>3475822</v>
      </c>
      <c r="D23" s="35">
        <f t="shared" si="7"/>
        <v>3733130</v>
      </c>
      <c r="E23" s="180">
        <f t="shared" si="7"/>
        <v>3939884</v>
      </c>
      <c r="F23" s="35">
        <f t="shared" si="7"/>
        <v>4009339.4473281181</v>
      </c>
      <c r="G23" s="35">
        <f t="shared" si="7"/>
        <v>4092592.1865845732</v>
      </c>
      <c r="H23" s="35">
        <f t="shared" si="7"/>
        <v>4181864.9695916693</v>
      </c>
      <c r="I23" s="35">
        <f t="shared" si="7"/>
        <v>4268877.9738720758</v>
      </c>
      <c r="J23" s="35">
        <f t="shared" si="7"/>
        <v>4343314.9040199937</v>
      </c>
      <c r="M23" s="31"/>
    </row>
    <row r="24" spans="2:13" ht="13.5" thickBot="1" x14ac:dyDescent="0.35">
      <c r="B24" s="37"/>
      <c r="E24" s="57"/>
      <c r="M24" s="31"/>
    </row>
    <row r="25" spans="2:13" x14ac:dyDescent="0.3">
      <c r="B25" s="42" t="s">
        <v>48</v>
      </c>
      <c r="C25" s="35">
        <f t="shared" ref="C25:J25" si="8">SUM(C16:C22,C14)</f>
        <v>4501797</v>
      </c>
      <c r="D25" s="35">
        <f t="shared" si="8"/>
        <v>4643834</v>
      </c>
      <c r="E25" s="180">
        <f t="shared" si="8"/>
        <v>4812153</v>
      </c>
      <c r="F25" s="35">
        <f t="shared" ca="1" si="8"/>
        <v>5295678.6737374179</v>
      </c>
      <c r="G25" s="35">
        <f t="shared" ca="1" si="8"/>
        <v>5901599.9267928889</v>
      </c>
      <c r="H25" s="35">
        <f t="shared" ca="1" si="8"/>
        <v>6445233.1476404089</v>
      </c>
      <c r="I25" s="35">
        <f t="shared" ca="1" si="8"/>
        <v>6943612.619180101</v>
      </c>
      <c r="J25" s="35">
        <f t="shared" ca="1" si="8"/>
        <v>6734007.0615779245</v>
      </c>
      <c r="M25" s="31"/>
    </row>
    <row r="26" spans="2:13" x14ac:dyDescent="0.3">
      <c r="E26" s="57"/>
      <c r="M26" s="31"/>
    </row>
    <row r="27" spans="2:13" x14ac:dyDescent="0.3">
      <c r="B27" s="42" t="s">
        <v>49</v>
      </c>
      <c r="E27" s="57"/>
      <c r="M27" s="31"/>
    </row>
    <row r="28" spans="2:13" x14ac:dyDescent="0.3">
      <c r="B28" s="37" t="s">
        <v>50</v>
      </c>
      <c r="C28" s="27">
        <v>230821</v>
      </c>
      <c r="D28" s="27">
        <v>260978</v>
      </c>
      <c r="E28" s="179">
        <v>264901</v>
      </c>
      <c r="F28" s="94">
        <f>F71/365.25*'Income Statement'!F8</f>
        <v>276085.13577373687</v>
      </c>
      <c r="G28" s="94">
        <f>G71/365.25*'Income Statement'!G8</f>
        <v>283677.47700751474</v>
      </c>
      <c r="H28" s="94">
        <f>H71/365.25*'Income Statement'!H8</f>
        <v>290769.41393270256</v>
      </c>
      <c r="I28" s="94">
        <f>I71/365.25*'Income Statement'!I8</f>
        <v>297311.72574618831</v>
      </c>
      <c r="J28" s="94">
        <f>J71/365.25*'Income Statement'!J8</f>
        <v>303257.96026111214</v>
      </c>
      <c r="M28" s="31"/>
    </row>
    <row r="29" spans="2:13" x14ac:dyDescent="0.3">
      <c r="B29" s="37" t="s">
        <v>51</v>
      </c>
      <c r="C29" s="27">
        <v>239424</v>
      </c>
      <c r="D29" s="27">
        <v>285771</v>
      </c>
      <c r="E29" s="179">
        <v>298068</v>
      </c>
      <c r="F29" s="94">
        <f>F72*'Income Statement'!F8</f>
        <v>300354.78536047909</v>
      </c>
      <c r="G29" s="94">
        <f>G72*'Income Statement'!G8</f>
        <v>308614.5419578923</v>
      </c>
      <c r="H29" s="94">
        <f>H72*'Income Statement'!H8</f>
        <v>316329.90550683963</v>
      </c>
      <c r="I29" s="94">
        <f>I72*'Income Statement'!I8</f>
        <v>323447.32838074345</v>
      </c>
      <c r="J29" s="94">
        <f>J72*'Income Statement'!J8</f>
        <v>329916.27494835836</v>
      </c>
      <c r="M29" s="31"/>
    </row>
    <row r="30" spans="2:13" x14ac:dyDescent="0.3">
      <c r="B30" s="37" t="s">
        <v>52</v>
      </c>
      <c r="C30" s="27">
        <v>89211</v>
      </c>
      <c r="D30" s="27">
        <v>65952</v>
      </c>
      <c r="E30" s="179">
        <v>108688</v>
      </c>
      <c r="F30" s="94">
        <f>F73*'Income Statement'!F7</f>
        <v>96101.44499066376</v>
      </c>
      <c r="G30" s="94">
        <f>G73*'Income Statement'!G7</f>
        <v>98744.234727907024</v>
      </c>
      <c r="H30" s="94">
        <f>H73*'Income Statement'!H7</f>
        <v>101212.8405961047</v>
      </c>
      <c r="I30" s="94">
        <f>I73*'Income Statement'!I7</f>
        <v>103490.12950951705</v>
      </c>
      <c r="J30" s="94">
        <f>J73*'Income Statement'!J7</f>
        <v>105559.9320997074</v>
      </c>
      <c r="M30" s="31"/>
    </row>
    <row r="31" spans="2:13" x14ac:dyDescent="0.3">
      <c r="B31" s="37" t="s">
        <v>53</v>
      </c>
      <c r="C31" s="27">
        <v>24362</v>
      </c>
      <c r="D31" s="27">
        <v>23328</v>
      </c>
      <c r="E31" s="179">
        <v>0</v>
      </c>
      <c r="F31" s="94">
        <f>E31</f>
        <v>0</v>
      </c>
      <c r="G31" s="94">
        <f t="shared" ref="G31:J31" si="9">F31</f>
        <v>0</v>
      </c>
      <c r="H31" s="94">
        <f t="shared" si="9"/>
        <v>0</v>
      </c>
      <c r="I31" s="94">
        <f t="shared" si="9"/>
        <v>0</v>
      </c>
      <c r="J31" s="94">
        <f t="shared" si="9"/>
        <v>0</v>
      </c>
      <c r="M31" s="31"/>
    </row>
    <row r="32" spans="2:13" ht="13.5" thickBot="1" x14ac:dyDescent="0.35">
      <c r="B32" s="37" t="s">
        <v>54</v>
      </c>
      <c r="C32" s="27">
        <v>57456</v>
      </c>
      <c r="D32" s="27">
        <v>62267</v>
      </c>
      <c r="E32" s="179">
        <v>68551</v>
      </c>
      <c r="F32" s="94">
        <f>F74</f>
        <v>68551</v>
      </c>
      <c r="G32" s="94">
        <f t="shared" ref="G32:J32" si="10">G74</f>
        <v>68551</v>
      </c>
      <c r="H32" s="94">
        <f t="shared" si="10"/>
        <v>68551</v>
      </c>
      <c r="I32" s="94">
        <f t="shared" si="10"/>
        <v>68551</v>
      </c>
      <c r="J32" s="94">
        <f t="shared" si="10"/>
        <v>68551</v>
      </c>
      <c r="M32" s="31"/>
    </row>
    <row r="33" spans="2:13" x14ac:dyDescent="0.3">
      <c r="B33" s="42" t="s">
        <v>55</v>
      </c>
      <c r="C33" s="35">
        <f>SUM(C28:C32)</f>
        <v>641274</v>
      </c>
      <c r="D33" s="35">
        <f>SUM(D28:D32)</f>
        <v>698296</v>
      </c>
      <c r="E33" s="180">
        <f>SUM(E28:E32)</f>
        <v>740208</v>
      </c>
      <c r="F33" s="35">
        <f>SUM(F28:F32)</f>
        <v>741092.3661248798</v>
      </c>
      <c r="G33" s="35">
        <f t="shared" ref="G33:J33" si="11">SUM(G28:G32)</f>
        <v>759587.25369331404</v>
      </c>
      <c r="H33" s="35">
        <f t="shared" si="11"/>
        <v>776863.16003564699</v>
      </c>
      <c r="I33" s="35">
        <f t="shared" si="11"/>
        <v>792800.18363644881</v>
      </c>
      <c r="J33" s="35">
        <f t="shared" si="11"/>
        <v>807285.16730917792</v>
      </c>
      <c r="M33" s="31"/>
    </row>
    <row r="34" spans="2:13" x14ac:dyDescent="0.3">
      <c r="E34" s="57"/>
      <c r="M34" s="31"/>
    </row>
    <row r="35" spans="2:13" x14ac:dyDescent="0.3">
      <c r="B35" s="37" t="s">
        <v>56</v>
      </c>
      <c r="C35" s="27">
        <v>302030</v>
      </c>
      <c r="D35" s="27">
        <v>12912</v>
      </c>
      <c r="E35" s="179">
        <v>4086</v>
      </c>
      <c r="F35" s="94">
        <f>F75</f>
        <v>4086</v>
      </c>
      <c r="G35" s="94">
        <f t="shared" ref="G35:J35" si="12">G75</f>
        <v>4086</v>
      </c>
      <c r="H35" s="94">
        <f t="shared" si="12"/>
        <v>4086</v>
      </c>
      <c r="I35" s="94">
        <f t="shared" si="12"/>
        <v>4086</v>
      </c>
      <c r="J35" s="94">
        <f t="shared" si="12"/>
        <v>4086</v>
      </c>
      <c r="M35" s="31"/>
    </row>
    <row r="36" spans="2:13" x14ac:dyDescent="0.3">
      <c r="B36" s="37" t="s">
        <v>57</v>
      </c>
      <c r="C36" s="27">
        <v>224837</v>
      </c>
      <c r="D36" s="27">
        <v>565171</v>
      </c>
      <c r="E36" s="179">
        <v>595434</v>
      </c>
      <c r="F36" s="94">
        <f>F76</f>
        <v>595434</v>
      </c>
      <c r="G36" s="94">
        <f t="shared" ref="G36:J36" si="13">G76</f>
        <v>595434</v>
      </c>
      <c r="H36" s="94">
        <f t="shared" si="13"/>
        <v>595434</v>
      </c>
      <c r="I36" s="94">
        <f t="shared" si="13"/>
        <v>595434</v>
      </c>
      <c r="J36" s="94">
        <f t="shared" si="13"/>
        <v>595434</v>
      </c>
      <c r="M36" s="31"/>
    </row>
    <row r="37" spans="2:13" x14ac:dyDescent="0.3">
      <c r="B37" s="37" t="s">
        <v>58</v>
      </c>
      <c r="C37" s="27">
        <v>2298027</v>
      </c>
      <c r="D37" s="27">
        <v>1640996</v>
      </c>
      <c r="E37" s="179">
        <v>1349339</v>
      </c>
      <c r="F37" s="96">
        <f ca="1">E37+'Debt Schedule'!G99</f>
        <v>1162471.2</v>
      </c>
      <c r="G37" s="96">
        <f ca="1">F37+'Debt Schedule'!H99</f>
        <v>1165603.3999999999</v>
      </c>
      <c r="H37" s="96">
        <f ca="1">G37+'Debt Schedule'!I99</f>
        <v>1168735.5999999999</v>
      </c>
      <c r="I37" s="96">
        <f ca="1">H37+'Debt Schedule'!J99</f>
        <v>1171867.7999999998</v>
      </c>
      <c r="J37" s="96">
        <f ca="1">I37+'Debt Schedule'!K99</f>
        <v>349999.99999999977</v>
      </c>
      <c r="M37" s="31"/>
    </row>
    <row r="38" spans="2:13" x14ac:dyDescent="0.3">
      <c r="B38" s="37" t="s">
        <v>59</v>
      </c>
      <c r="C38" s="27">
        <v>215119</v>
      </c>
      <c r="D38" s="27">
        <v>269769</v>
      </c>
      <c r="E38" s="179">
        <v>283406</v>
      </c>
      <c r="F38" s="94">
        <f>F77</f>
        <v>283406</v>
      </c>
      <c r="G38" s="94">
        <f t="shared" ref="G38:J38" si="14">G77</f>
        <v>283406</v>
      </c>
      <c r="H38" s="94">
        <f t="shared" si="14"/>
        <v>283406</v>
      </c>
      <c r="I38" s="94">
        <f t="shared" si="14"/>
        <v>283406</v>
      </c>
      <c r="J38" s="94">
        <f t="shared" si="14"/>
        <v>283406</v>
      </c>
      <c r="M38" s="31"/>
    </row>
    <row r="39" spans="2:13" ht="13.5" thickBot="1" x14ac:dyDescent="0.35">
      <c r="B39" s="37" t="s">
        <v>60</v>
      </c>
      <c r="C39" s="27">
        <v>2579</v>
      </c>
      <c r="D39" s="27">
        <v>2767</v>
      </c>
      <c r="E39" s="179">
        <v>3948</v>
      </c>
      <c r="F39" s="94">
        <f>F78*'Income Statement'!F8</f>
        <v>3396.7043925240669</v>
      </c>
      <c r="G39" s="94">
        <f>G78*'Income Statement'!G8</f>
        <v>3490.1137633184799</v>
      </c>
      <c r="H39" s="94">
        <f>H78*'Income Statement'!H8</f>
        <v>3577.3666074014413</v>
      </c>
      <c r="I39" s="94">
        <f>I78*'Income Statement'!I8</f>
        <v>3657.8573560679733</v>
      </c>
      <c r="J39" s="94">
        <f>J78*'Income Statement'!J8</f>
        <v>3731.0145031893335</v>
      </c>
      <c r="M39" s="31"/>
    </row>
    <row r="40" spans="2:13" x14ac:dyDescent="0.3">
      <c r="B40" s="42" t="s">
        <v>61</v>
      </c>
      <c r="C40" s="35">
        <f>SUM(C35:C39)</f>
        <v>3042592</v>
      </c>
      <c r="D40" s="35">
        <f t="shared" ref="D40:F40" si="15">SUM(D35:D39)</f>
        <v>2491615</v>
      </c>
      <c r="E40" s="180">
        <f t="shared" si="15"/>
        <v>2236213</v>
      </c>
      <c r="F40" s="35">
        <f t="shared" ca="1" si="15"/>
        <v>2048793.9043925239</v>
      </c>
      <c r="G40" s="35">
        <f t="shared" ref="G40:J40" ca="1" si="16">SUM(G35:G39)</f>
        <v>2052019.5137633183</v>
      </c>
      <c r="H40" s="35">
        <f t="shared" ca="1" si="16"/>
        <v>2055238.9666074014</v>
      </c>
      <c r="I40" s="35">
        <f t="shared" ca="1" si="16"/>
        <v>2058451.6573560678</v>
      </c>
      <c r="J40" s="35">
        <f t="shared" ca="1" si="16"/>
        <v>1236657.0145031891</v>
      </c>
      <c r="M40" s="31"/>
    </row>
    <row r="41" spans="2:13" ht="13.5" thickBot="1" x14ac:dyDescent="0.35">
      <c r="B41" s="37"/>
      <c r="E41" s="57"/>
      <c r="M41" s="31"/>
    </row>
    <row r="42" spans="2:13" x14ac:dyDescent="0.3">
      <c r="B42" s="42" t="s">
        <v>62</v>
      </c>
      <c r="C42" s="35">
        <f>SUM(C35:C39,C33)</f>
        <v>3683866</v>
      </c>
      <c r="D42" s="35">
        <f>SUM(D35:D39,D33)</f>
        <v>3189911</v>
      </c>
      <c r="E42" s="180">
        <f>SUM(E35:E39,E33)</f>
        <v>2976421</v>
      </c>
      <c r="F42" s="35">
        <f ca="1">SUM(F35:F39,F33)</f>
        <v>2789886.2705174037</v>
      </c>
      <c r="G42" s="35">
        <f t="shared" ref="G42:J42" ca="1" si="17">SUM(G35:G39,G33)</f>
        <v>2811606.7674566321</v>
      </c>
      <c r="H42" s="35">
        <f t="shared" ca="1" si="17"/>
        <v>2832102.1266430486</v>
      </c>
      <c r="I42" s="35">
        <f t="shared" ca="1" si="17"/>
        <v>2851251.8409925168</v>
      </c>
      <c r="J42" s="35">
        <f t="shared" ca="1" si="17"/>
        <v>2043942.1818123669</v>
      </c>
      <c r="M42" s="31"/>
    </row>
    <row r="43" spans="2:13" x14ac:dyDescent="0.3">
      <c r="E43" s="57"/>
      <c r="M43" s="31"/>
    </row>
    <row r="44" spans="2:13" x14ac:dyDescent="0.3">
      <c r="B44" s="42" t="s">
        <v>63</v>
      </c>
      <c r="E44" s="57"/>
      <c r="M44" s="31"/>
    </row>
    <row r="45" spans="2:13" x14ac:dyDescent="0.3">
      <c r="B45" s="37" t="s">
        <v>64</v>
      </c>
      <c r="C45" s="27">
        <v>110</v>
      </c>
      <c r="D45" s="27">
        <v>110</v>
      </c>
      <c r="E45" s="179">
        <v>110</v>
      </c>
      <c r="F45" s="94">
        <f>E45</f>
        <v>110</v>
      </c>
      <c r="G45" s="94">
        <f t="shared" ref="G45:J45" si="18">F45</f>
        <v>110</v>
      </c>
      <c r="H45" s="94">
        <f t="shared" si="18"/>
        <v>110</v>
      </c>
      <c r="I45" s="94">
        <f t="shared" si="18"/>
        <v>110</v>
      </c>
      <c r="J45" s="94">
        <f t="shared" si="18"/>
        <v>110</v>
      </c>
      <c r="M45" s="31"/>
    </row>
    <row r="46" spans="2:13" x14ac:dyDescent="0.3">
      <c r="B46" s="37" t="s">
        <v>65</v>
      </c>
      <c r="C46" s="27">
        <v>-1695501</v>
      </c>
      <c r="D46" s="27">
        <v>-1888869</v>
      </c>
      <c r="E46" s="179">
        <v>-2453473</v>
      </c>
      <c r="F46" s="94">
        <f ca="1">E46+'Debt Schedule'!G107</f>
        <v>-2562165.1203056476</v>
      </c>
      <c r="G46" s="94">
        <f ca="1">F46+'Debt Schedule'!H107</f>
        <v>-2792183.4081404791</v>
      </c>
      <c r="H46" s="94">
        <f ca="1">G46+'Debt Schedule'!I107</f>
        <v>-3112095.1501628961</v>
      </c>
      <c r="I46" s="94">
        <f ca="1">H46+'Debt Schedule'!J107</f>
        <v>-3499805.8162347758</v>
      </c>
      <c r="J46" s="94">
        <f ca="1">I46+'Debt Schedule'!K107</f>
        <v>-3799493.6123786857</v>
      </c>
      <c r="M46" s="31"/>
    </row>
    <row r="47" spans="2:13" x14ac:dyDescent="0.3">
      <c r="B47" s="37" t="s">
        <v>66</v>
      </c>
      <c r="C47" s="27">
        <v>797614</v>
      </c>
      <c r="D47" s="27">
        <v>826685</v>
      </c>
      <c r="E47" s="179">
        <v>859904</v>
      </c>
      <c r="F47" s="94">
        <f>E47</f>
        <v>859904</v>
      </c>
      <c r="G47" s="94">
        <f t="shared" ref="G47:J47" si="19">F47</f>
        <v>859904</v>
      </c>
      <c r="H47" s="94">
        <f t="shared" si="19"/>
        <v>859904</v>
      </c>
      <c r="I47" s="94">
        <f t="shared" si="19"/>
        <v>859904</v>
      </c>
      <c r="J47" s="94">
        <f t="shared" si="19"/>
        <v>859904</v>
      </c>
      <c r="M47" s="31"/>
    </row>
    <row r="48" spans="2:13" x14ac:dyDescent="0.3">
      <c r="B48" s="37" t="s">
        <v>67</v>
      </c>
      <c r="C48" s="27">
        <v>1819199</v>
      </c>
      <c r="D48" s="27">
        <v>2611765</v>
      </c>
      <c r="E48" s="179">
        <v>3561836</v>
      </c>
      <c r="F48" s="94">
        <f ca="1">E48+'Income Statement'!F21</f>
        <v>4340588.5235256609</v>
      </c>
      <c r="G48" s="94">
        <f ca="1">F48+'Income Statement'!G21</f>
        <v>5154807.5674767355</v>
      </c>
      <c r="H48" s="94">
        <f ca="1">G48+'Income Statement'!H21</f>
        <v>5997857.1711602565</v>
      </c>
      <c r="I48" s="94">
        <f ca="1">H48+'Income Statement'!I21</f>
        <v>6864797.594422359</v>
      </c>
      <c r="J48" s="94">
        <f ca="1">I48+'Income Statement'!J21</f>
        <v>7762189.4921442438</v>
      </c>
      <c r="M48" s="31"/>
    </row>
    <row r="49" spans="2:13" ht="13.5" thickBot="1" x14ac:dyDescent="0.35">
      <c r="B49" s="37" t="s">
        <v>68</v>
      </c>
      <c r="C49" s="27">
        <v>-103491</v>
      </c>
      <c r="D49" s="27">
        <v>-95768</v>
      </c>
      <c r="E49" s="179">
        <v>-132645</v>
      </c>
      <c r="F49" s="94">
        <f>E49</f>
        <v>-132645</v>
      </c>
      <c r="G49" s="94">
        <f t="shared" ref="G49:J49" si="20">F49</f>
        <v>-132645</v>
      </c>
      <c r="H49" s="94">
        <f t="shared" si="20"/>
        <v>-132645</v>
      </c>
      <c r="I49" s="94">
        <f t="shared" si="20"/>
        <v>-132645</v>
      </c>
      <c r="J49" s="94">
        <f t="shared" si="20"/>
        <v>-132645</v>
      </c>
      <c r="M49" s="31"/>
    </row>
    <row r="50" spans="2:13" x14ac:dyDescent="0.3">
      <c r="B50" s="42" t="s">
        <v>69</v>
      </c>
      <c r="C50" s="35">
        <f>SUM(C45:C49)</f>
        <v>817931</v>
      </c>
      <c r="D50" s="35">
        <f>SUM(D45:D49)</f>
        <v>1453923</v>
      </c>
      <c r="E50" s="180">
        <f>SUM(E45:E49)</f>
        <v>1835732</v>
      </c>
      <c r="F50" s="35">
        <f ca="1">SUM(F45:F49)</f>
        <v>2505792.4032200132</v>
      </c>
      <c r="G50" s="35">
        <f t="shared" ref="G50:J50" ca="1" si="21">SUM(G45:G49)</f>
        <v>3089993.1593362563</v>
      </c>
      <c r="H50" s="35">
        <f t="shared" ca="1" si="21"/>
        <v>3613131.0209973603</v>
      </c>
      <c r="I50" s="35">
        <f t="shared" ca="1" si="21"/>
        <v>4092360.7781875832</v>
      </c>
      <c r="J50" s="35">
        <f t="shared" ca="1" si="21"/>
        <v>4690064.8797655581</v>
      </c>
      <c r="M50" s="31"/>
    </row>
    <row r="51" spans="2:13" ht="13.5" thickBot="1" x14ac:dyDescent="0.35">
      <c r="E51" s="57"/>
      <c r="M51" s="31"/>
    </row>
    <row r="52" spans="2:13" x14ac:dyDescent="0.3">
      <c r="B52" s="42" t="s">
        <v>70</v>
      </c>
      <c r="C52" s="35">
        <f>SUM(C50,C42)</f>
        <v>4501797</v>
      </c>
      <c r="D52" s="35">
        <f>SUM(D50,D42)</f>
        <v>4643834</v>
      </c>
      <c r="E52" s="180">
        <f>SUM(E50,E42)</f>
        <v>4812153</v>
      </c>
      <c r="F52" s="35">
        <f ca="1">SUM(F50,F42)</f>
        <v>5295678.673737417</v>
      </c>
      <c r="G52" s="35">
        <f t="shared" ref="G52:J52" ca="1" si="22">SUM(G50,G42)</f>
        <v>5901599.926792888</v>
      </c>
      <c r="H52" s="35">
        <f t="shared" ca="1" si="22"/>
        <v>6445233.1476404089</v>
      </c>
      <c r="I52" s="35">
        <f t="shared" ca="1" si="22"/>
        <v>6943612.6191801</v>
      </c>
      <c r="J52" s="35">
        <f t="shared" ca="1" si="22"/>
        <v>6734007.0615779255</v>
      </c>
      <c r="M52" s="31"/>
    </row>
    <row r="53" spans="2:13" x14ac:dyDescent="0.3">
      <c r="E53" s="57"/>
    </row>
    <row r="54" spans="2:13" ht="13.5" x14ac:dyDescent="0.35">
      <c r="B54" s="149" t="s">
        <v>71</v>
      </c>
      <c r="C54" s="150">
        <f>C25-C52</f>
        <v>0</v>
      </c>
      <c r="D54" s="150">
        <f t="shared" ref="D54:F54" si="23">D25-D52</f>
        <v>0</v>
      </c>
      <c r="E54" s="181">
        <f t="shared" si="23"/>
        <v>0</v>
      </c>
      <c r="F54" s="150">
        <f t="shared" ca="1" si="23"/>
        <v>0</v>
      </c>
      <c r="G54" s="150">
        <f t="shared" ref="G54:H54" ca="1" si="24">G25-G52</f>
        <v>0</v>
      </c>
      <c r="H54" s="150">
        <f t="shared" ca="1" si="24"/>
        <v>0</v>
      </c>
      <c r="I54" s="150">
        <f ca="1">I25-I52</f>
        <v>0</v>
      </c>
      <c r="J54" s="150">
        <f ca="1">J25-J52</f>
        <v>0</v>
      </c>
    </row>
    <row r="55" spans="2:13" x14ac:dyDescent="0.3">
      <c r="B55" s="38"/>
      <c r="E55" s="57"/>
    </row>
    <row r="56" spans="2:13" x14ac:dyDescent="0.3">
      <c r="E56" s="57"/>
    </row>
    <row r="57" spans="2:13" x14ac:dyDescent="0.3">
      <c r="C57" s="12" t="s">
        <v>4</v>
      </c>
      <c r="D57" s="12"/>
      <c r="E57" s="79"/>
      <c r="F57" s="13" t="s">
        <v>5</v>
      </c>
      <c r="G57" s="13"/>
      <c r="H57" s="13"/>
      <c r="I57" s="13"/>
      <c r="J57" s="13"/>
    </row>
    <row r="58" spans="2:13" x14ac:dyDescent="0.3">
      <c r="B58" s="16" t="s">
        <v>72</v>
      </c>
      <c r="C58" s="14">
        <v>2022</v>
      </c>
      <c r="D58" s="14">
        <v>2023</v>
      </c>
      <c r="E58" s="80">
        <v>2024</v>
      </c>
      <c r="F58" s="14">
        <v>2025</v>
      </c>
      <c r="G58" s="14">
        <v>2026</v>
      </c>
      <c r="H58" s="14">
        <v>2027</v>
      </c>
      <c r="I58" s="14">
        <v>2028</v>
      </c>
      <c r="J58" s="14">
        <v>2029</v>
      </c>
      <c r="M58" s="31"/>
    </row>
    <row r="59" spans="2:13" x14ac:dyDescent="0.3">
      <c r="B59" s="28" t="s">
        <v>32</v>
      </c>
      <c r="E59" s="57"/>
    </row>
    <row r="60" spans="2:13" x14ac:dyDescent="0.3">
      <c r="B60" s="15" t="s">
        <v>73</v>
      </c>
      <c r="C60" s="151">
        <f>C9/'Income Statement'!C7*365.25</f>
        <v>30.370228988307968</v>
      </c>
      <c r="D60" s="151">
        <f>D9/'Income Statement'!D7*365.25</f>
        <v>28.183824321797157</v>
      </c>
      <c r="E60" s="182">
        <f>E9/'Income Statement'!E7*365.25</f>
        <v>22.941672732653551</v>
      </c>
      <c r="F60" s="151">
        <f>AVERAGE($C60:$E60)</f>
        <v>27.165242014252893</v>
      </c>
      <c r="G60" s="151">
        <f t="shared" ref="G60:J60" si="25">AVERAGE($C60:$E60)</f>
        <v>27.165242014252893</v>
      </c>
      <c r="H60" s="151">
        <f t="shared" si="25"/>
        <v>27.165242014252893</v>
      </c>
      <c r="I60" s="151">
        <f t="shared" si="25"/>
        <v>27.165242014252893</v>
      </c>
      <c r="J60" s="151">
        <f t="shared" si="25"/>
        <v>27.165242014252893</v>
      </c>
    </row>
    <row r="61" spans="2:13" x14ac:dyDescent="0.3">
      <c r="B61" s="15" t="s">
        <v>74</v>
      </c>
      <c r="C61" s="151">
        <f>C10/'Income Statement'!C8*365.25</f>
        <v>101.6307888461872</v>
      </c>
      <c r="D61" s="151">
        <f>D10/'Income Statement'!D8*365.25</f>
        <v>80.259090289139593</v>
      </c>
      <c r="E61" s="182">
        <f>E10/'Income Statement'!E8*365.25</f>
        <v>76.910939799627627</v>
      </c>
      <c r="F61" s="151">
        <f t="shared" ref="F61:J78" si="26">AVERAGE($C61:$E61)</f>
        <v>86.266939644984802</v>
      </c>
      <c r="G61" s="151">
        <f t="shared" si="26"/>
        <v>86.266939644984802</v>
      </c>
      <c r="H61" s="151">
        <f t="shared" si="26"/>
        <v>86.266939644984802</v>
      </c>
      <c r="I61" s="151">
        <f t="shared" si="26"/>
        <v>86.266939644984802</v>
      </c>
      <c r="J61" s="151">
        <f t="shared" si="26"/>
        <v>86.266939644984802</v>
      </c>
    </row>
    <row r="62" spans="2:13" x14ac:dyDescent="0.3">
      <c r="B62" s="15" t="s">
        <v>75</v>
      </c>
      <c r="C62" s="31">
        <f t="shared" ref="C62:E63" si="27">C11</f>
        <v>14752</v>
      </c>
      <c r="D62" s="31">
        <f t="shared" si="27"/>
        <v>4413</v>
      </c>
      <c r="E62" s="121">
        <f t="shared" si="27"/>
        <v>4046</v>
      </c>
      <c r="F62" s="31">
        <f>E62</f>
        <v>4046</v>
      </c>
      <c r="G62" s="31">
        <f t="shared" ref="G62:J62" si="28">F62</f>
        <v>4046</v>
      </c>
      <c r="H62" s="31">
        <f t="shared" si="28"/>
        <v>4046</v>
      </c>
      <c r="I62" s="31">
        <f t="shared" si="28"/>
        <v>4046</v>
      </c>
      <c r="J62" s="31">
        <f t="shared" si="28"/>
        <v>4046</v>
      </c>
    </row>
    <row r="63" spans="2:13" x14ac:dyDescent="0.3">
      <c r="B63" s="15" t="s">
        <v>76</v>
      </c>
      <c r="C63" s="31">
        <f t="shared" si="27"/>
        <v>18842</v>
      </c>
      <c r="D63" s="31">
        <f t="shared" si="27"/>
        <v>21071</v>
      </c>
      <c r="E63" s="121">
        <f t="shared" si="27"/>
        <v>22204</v>
      </c>
      <c r="F63" s="31">
        <f>E63</f>
        <v>22204</v>
      </c>
      <c r="G63" s="31">
        <f t="shared" ref="G63:J63" si="29">F63</f>
        <v>22204</v>
      </c>
      <c r="H63" s="31">
        <f t="shared" si="29"/>
        <v>22204</v>
      </c>
      <c r="I63" s="31">
        <f t="shared" si="29"/>
        <v>22204</v>
      </c>
      <c r="J63" s="31">
        <f t="shared" si="29"/>
        <v>22204</v>
      </c>
    </row>
    <row r="64" spans="2:13" x14ac:dyDescent="0.3">
      <c r="B64" s="15" t="s">
        <v>77</v>
      </c>
      <c r="C64" s="19">
        <f>C13/'Income Statement'!C8</f>
        <v>1.9829433239924636E-2</v>
      </c>
      <c r="D64" s="19">
        <f>D13/'Income Statement'!D8</f>
        <v>2.5753607896198048E-2</v>
      </c>
      <c r="E64" s="113">
        <f>E13/'Income Statement'!E8</f>
        <v>3.0512752312557258E-2</v>
      </c>
      <c r="F64" s="112">
        <f t="shared" si="26"/>
        <v>2.5365264482893318E-2</v>
      </c>
      <c r="G64" s="21">
        <f t="shared" si="26"/>
        <v>2.5365264482893318E-2</v>
      </c>
      <c r="H64" s="21">
        <f t="shared" si="26"/>
        <v>2.5365264482893318E-2</v>
      </c>
      <c r="I64" s="21">
        <f t="shared" si="26"/>
        <v>2.5365264482893318E-2</v>
      </c>
      <c r="J64" s="21">
        <f t="shared" si="26"/>
        <v>2.5365264482893318E-2</v>
      </c>
    </row>
    <row r="65" spans="2:10" x14ac:dyDescent="0.3">
      <c r="B65" s="15" t="s">
        <v>78</v>
      </c>
      <c r="C65" s="152">
        <f t="shared" ref="C65:E67" si="30">C19</f>
        <v>528278</v>
      </c>
      <c r="D65" s="152">
        <f t="shared" si="30"/>
        <v>667972</v>
      </c>
      <c r="E65" s="183">
        <f t="shared" si="30"/>
        <v>872350</v>
      </c>
      <c r="F65" s="31">
        <f>E65</f>
        <v>872350</v>
      </c>
      <c r="G65" s="31">
        <f>F65</f>
        <v>872350</v>
      </c>
      <c r="H65" s="31">
        <f t="shared" ref="H65:J65" si="31">G65</f>
        <v>872350</v>
      </c>
      <c r="I65" s="31">
        <f t="shared" si="31"/>
        <v>872350</v>
      </c>
      <c r="J65" s="31">
        <f t="shared" si="31"/>
        <v>872350</v>
      </c>
    </row>
    <row r="66" spans="2:10" x14ac:dyDescent="0.3">
      <c r="B66" s="15" t="s">
        <v>79</v>
      </c>
      <c r="C66" s="31">
        <f t="shared" si="30"/>
        <v>3254</v>
      </c>
      <c r="D66" s="31">
        <f t="shared" si="30"/>
        <v>3807</v>
      </c>
      <c r="E66" s="121">
        <f t="shared" si="30"/>
        <v>3193</v>
      </c>
      <c r="F66" s="31">
        <f>E66</f>
        <v>3193</v>
      </c>
      <c r="G66" s="31">
        <f t="shared" ref="G66:J66" si="32">F66</f>
        <v>3193</v>
      </c>
      <c r="H66" s="31">
        <f t="shared" si="32"/>
        <v>3193</v>
      </c>
      <c r="I66" s="31">
        <f t="shared" si="32"/>
        <v>3193</v>
      </c>
      <c r="J66" s="31">
        <f t="shared" si="32"/>
        <v>3193</v>
      </c>
    </row>
    <row r="67" spans="2:10" x14ac:dyDescent="0.3">
      <c r="B67" s="15" t="s">
        <v>80</v>
      </c>
      <c r="C67" s="31">
        <f t="shared" si="30"/>
        <v>239905</v>
      </c>
      <c r="D67" s="31">
        <f t="shared" si="30"/>
        <v>287440</v>
      </c>
      <c r="E67" s="121">
        <f t="shared" si="30"/>
        <v>307228</v>
      </c>
      <c r="F67" s="31">
        <f>E67</f>
        <v>307228</v>
      </c>
      <c r="G67" s="31">
        <f t="shared" ref="G67:J67" si="33">F67</f>
        <v>307228</v>
      </c>
      <c r="H67" s="31">
        <f t="shared" si="33"/>
        <v>307228</v>
      </c>
      <c r="I67" s="31">
        <f t="shared" si="33"/>
        <v>307228</v>
      </c>
      <c r="J67" s="31">
        <f t="shared" si="33"/>
        <v>307228</v>
      </c>
    </row>
    <row r="68" spans="2:10" x14ac:dyDescent="0.3">
      <c r="B68" s="15" t="s">
        <v>81</v>
      </c>
      <c r="C68" s="19">
        <f>C22/'Income Statement'!C7</f>
        <v>2.2151992202498745E-3</v>
      </c>
      <c r="D68" s="19">
        <f>D22/'Income Statement'!D7</f>
        <v>7.9362054862938559E-3</v>
      </c>
      <c r="E68" s="113">
        <f>E22/'Income Statement'!E7</f>
        <v>5.9011123061606377E-3</v>
      </c>
      <c r="F68" s="112">
        <f t="shared" si="26"/>
        <v>5.3508390042347892E-3</v>
      </c>
      <c r="G68" s="21">
        <f t="shared" si="26"/>
        <v>5.3508390042347892E-3</v>
      </c>
      <c r="H68" s="21">
        <f t="shared" si="26"/>
        <v>5.3508390042347892E-3</v>
      </c>
      <c r="I68" s="21">
        <f t="shared" si="26"/>
        <v>5.3508390042347892E-3</v>
      </c>
      <c r="J68" s="21">
        <f t="shared" si="26"/>
        <v>5.3508390042347892E-3</v>
      </c>
    </row>
    <row r="69" spans="2:10" x14ac:dyDescent="0.3">
      <c r="E69" s="57"/>
      <c r="F69" s="151"/>
    </row>
    <row r="70" spans="2:10" x14ac:dyDescent="0.3">
      <c r="B70" s="28" t="s">
        <v>49</v>
      </c>
      <c r="E70" s="57"/>
      <c r="F70" s="151"/>
    </row>
    <row r="71" spans="2:10" x14ac:dyDescent="0.3">
      <c r="B71" s="15" t="s">
        <v>82</v>
      </c>
      <c r="C71" s="151">
        <f>C28/'Income Statement'!C8*365.25</f>
        <v>49.747578336735103</v>
      </c>
      <c r="D71" s="151">
        <f>D28/'Income Statement'!D8*365.25</f>
        <v>54.397193291016507</v>
      </c>
      <c r="E71" s="182">
        <f>E28/'Income Statement'!E8*365.25</f>
        <v>57.188929426367579</v>
      </c>
      <c r="F71" s="151">
        <f t="shared" si="26"/>
        <v>53.777900351373063</v>
      </c>
      <c r="G71" s="151">
        <f t="shared" si="26"/>
        <v>53.777900351373063</v>
      </c>
      <c r="H71" s="151">
        <f t="shared" si="26"/>
        <v>53.777900351373063</v>
      </c>
      <c r="I71" s="151">
        <f t="shared" si="26"/>
        <v>53.777900351373063</v>
      </c>
      <c r="J71" s="151">
        <f t="shared" si="26"/>
        <v>53.777900351373063</v>
      </c>
    </row>
    <row r="72" spans="2:10" x14ac:dyDescent="0.3">
      <c r="B72" s="15" t="s">
        <v>83</v>
      </c>
      <c r="C72" s="19">
        <f>C29/'Income Statement'!C8</f>
        <v>0.14127785222543418</v>
      </c>
      <c r="D72" s="19">
        <f>D29/'Income Statement'!D8</f>
        <v>0.16307993268418119</v>
      </c>
      <c r="E72" s="113">
        <f>E29/'Income Statement'!E8</f>
        <v>0.17617873924993349</v>
      </c>
      <c r="F72" s="112">
        <f t="shared" si="26"/>
        <v>0.16017884138651631</v>
      </c>
      <c r="G72" s="21">
        <f t="shared" si="26"/>
        <v>0.16017884138651631</v>
      </c>
      <c r="H72" s="21">
        <f t="shared" si="26"/>
        <v>0.16017884138651631</v>
      </c>
      <c r="I72" s="21">
        <f t="shared" si="26"/>
        <v>0.16017884138651631</v>
      </c>
      <c r="J72" s="21">
        <f t="shared" si="26"/>
        <v>0.16017884138651631</v>
      </c>
    </row>
    <row r="73" spans="2:10" x14ac:dyDescent="0.3">
      <c r="B73" s="15" t="s">
        <v>84</v>
      </c>
      <c r="C73" s="19">
        <f>C30/'Income Statement'!C7</f>
        <v>2.5094620652407817E-2</v>
      </c>
      <c r="D73" s="19">
        <f>D30/'Income Statement'!D7</f>
        <v>1.6644680539084536E-2</v>
      </c>
      <c r="E73" s="113">
        <f>E30/'Income Statement'!E7</f>
        <v>2.6495645653405519E-2</v>
      </c>
      <c r="F73" s="112">
        <f t="shared" si="26"/>
        <v>2.2744982281632627E-2</v>
      </c>
      <c r="G73" s="21">
        <f t="shared" si="26"/>
        <v>2.2744982281632627E-2</v>
      </c>
      <c r="H73" s="21">
        <f t="shared" si="26"/>
        <v>2.2744982281632627E-2</v>
      </c>
      <c r="I73" s="21">
        <f t="shared" si="26"/>
        <v>2.2744982281632627E-2</v>
      </c>
      <c r="J73" s="21">
        <f t="shared" si="26"/>
        <v>2.2744982281632627E-2</v>
      </c>
    </row>
    <row r="74" spans="2:10" x14ac:dyDescent="0.3">
      <c r="B74" s="15" t="s">
        <v>85</v>
      </c>
      <c r="C74" s="152">
        <f>C32</f>
        <v>57456</v>
      </c>
      <c r="D74" s="152">
        <f t="shared" ref="D74:E74" si="34">D32</f>
        <v>62267</v>
      </c>
      <c r="E74" s="183">
        <f t="shared" si="34"/>
        <v>68551</v>
      </c>
      <c r="F74" s="31">
        <f>E74</f>
        <v>68551</v>
      </c>
      <c r="G74" s="31">
        <f t="shared" ref="G74:J74" si="35">F74</f>
        <v>68551</v>
      </c>
      <c r="H74" s="31">
        <f t="shared" si="35"/>
        <v>68551</v>
      </c>
      <c r="I74" s="31">
        <f t="shared" si="35"/>
        <v>68551</v>
      </c>
      <c r="J74" s="31">
        <f t="shared" si="35"/>
        <v>68551</v>
      </c>
    </row>
    <row r="75" spans="2:10" x14ac:dyDescent="0.3">
      <c r="B75" s="15" t="s">
        <v>86</v>
      </c>
      <c r="C75" s="152">
        <f>C35</f>
        <v>302030</v>
      </c>
      <c r="D75" s="152">
        <f t="shared" ref="D75:E75" si="36">D35</f>
        <v>12912</v>
      </c>
      <c r="E75" s="183">
        <f t="shared" si="36"/>
        <v>4086</v>
      </c>
      <c r="F75" s="31">
        <f>E75</f>
        <v>4086</v>
      </c>
      <c r="G75" s="31">
        <f>F75</f>
        <v>4086</v>
      </c>
      <c r="H75" s="31">
        <f t="shared" ref="H75:J75" si="37">G75</f>
        <v>4086</v>
      </c>
      <c r="I75" s="31">
        <f t="shared" si="37"/>
        <v>4086</v>
      </c>
      <c r="J75" s="31">
        <f t="shared" si="37"/>
        <v>4086</v>
      </c>
    </row>
    <row r="76" spans="2:10" x14ac:dyDescent="0.3">
      <c r="B76" s="15" t="s">
        <v>87</v>
      </c>
      <c r="C76" s="31">
        <f>C36</f>
        <v>224837</v>
      </c>
      <c r="D76" s="31">
        <f t="shared" ref="D76:E76" si="38">D36</f>
        <v>565171</v>
      </c>
      <c r="E76" s="121">
        <f t="shared" si="38"/>
        <v>595434</v>
      </c>
      <c r="F76" s="31">
        <f>E76</f>
        <v>595434</v>
      </c>
      <c r="G76" s="31">
        <f t="shared" ref="G76:J76" si="39">F76</f>
        <v>595434</v>
      </c>
      <c r="H76" s="31">
        <f t="shared" si="39"/>
        <v>595434</v>
      </c>
      <c r="I76" s="31">
        <f t="shared" si="39"/>
        <v>595434</v>
      </c>
      <c r="J76" s="31">
        <f t="shared" si="39"/>
        <v>595434</v>
      </c>
    </row>
    <row r="77" spans="2:10" x14ac:dyDescent="0.3">
      <c r="B77" s="15" t="s">
        <v>88</v>
      </c>
      <c r="C77" s="31">
        <f>C38</f>
        <v>215119</v>
      </c>
      <c r="D77" s="31">
        <f t="shared" ref="D77:E77" si="40">D38</f>
        <v>269769</v>
      </c>
      <c r="E77" s="121">
        <f t="shared" si="40"/>
        <v>283406</v>
      </c>
      <c r="F77" s="31">
        <f>E77</f>
        <v>283406</v>
      </c>
      <c r="G77" s="31">
        <f t="shared" ref="G77:J77" si="41">F77</f>
        <v>283406</v>
      </c>
      <c r="H77" s="31">
        <f t="shared" si="41"/>
        <v>283406</v>
      </c>
      <c r="I77" s="31">
        <f t="shared" si="41"/>
        <v>283406</v>
      </c>
      <c r="J77" s="31">
        <f t="shared" si="41"/>
        <v>283406</v>
      </c>
    </row>
    <row r="78" spans="2:10" x14ac:dyDescent="0.3">
      <c r="B78" s="15" t="s">
        <v>89</v>
      </c>
      <c r="C78" s="19">
        <f>C39/'Income Statement'!C8</f>
        <v>1.5218005750860181E-3</v>
      </c>
      <c r="D78" s="19">
        <f>D39/'Income Statement'!D8</f>
        <v>1.5790341697972479E-3</v>
      </c>
      <c r="E78" s="113">
        <f>E39/'Income Statement'!E8</f>
        <v>2.3335402074652007E-3</v>
      </c>
      <c r="F78" s="112">
        <f t="shared" si="26"/>
        <v>1.8114583174494887E-3</v>
      </c>
      <c r="G78" s="21">
        <f t="shared" si="26"/>
        <v>1.8114583174494887E-3</v>
      </c>
      <c r="H78" s="21">
        <f t="shared" si="26"/>
        <v>1.8114583174494887E-3</v>
      </c>
      <c r="I78" s="21">
        <f t="shared" si="26"/>
        <v>1.8114583174494887E-3</v>
      </c>
      <c r="J78" s="21">
        <f t="shared" si="26"/>
        <v>1.8114583174494887E-3</v>
      </c>
    </row>
    <row r="79" spans="2:10" x14ac:dyDescent="0.3">
      <c r="E79" s="57"/>
    </row>
    <row r="80" spans="2:10" x14ac:dyDescent="0.3">
      <c r="E80" s="57"/>
    </row>
  </sheetData>
  <pageMargins left="0.7" right="0.7" top="0.75" bottom="0.75" header="0.3" footer="0.3"/>
  <ignoredErrors>
    <ignoredError sqref="F74 F20:J20"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D4AADA-2835-4997-A6CB-50DBF41CD266}">
  <dimension ref="B1:J41"/>
  <sheetViews>
    <sheetView showGridLines="0" zoomScale="97" workbookViewId="0">
      <selection activeCell="F26" sqref="F26"/>
    </sheetView>
  </sheetViews>
  <sheetFormatPr defaultColWidth="9.1796875" defaultRowHeight="13" x14ac:dyDescent="0.3"/>
  <cols>
    <col min="1" max="1" width="9.1796875" style="15"/>
    <col min="2" max="2" width="38.1796875" style="15" bestFit="1" customWidth="1"/>
    <col min="3" max="3" width="8.7265625" style="15" bestFit="1" customWidth="1"/>
    <col min="4" max="4" width="12.1796875" style="15" bestFit="1" customWidth="1"/>
    <col min="5" max="5" width="8.54296875" style="15" bestFit="1" customWidth="1"/>
    <col min="6" max="6" width="12.7265625" style="15" bestFit="1" customWidth="1"/>
    <col min="7" max="10" width="12.1796875" style="15" bestFit="1" customWidth="1"/>
    <col min="11" max="16384" width="9.1796875" style="15"/>
  </cols>
  <sheetData>
    <row r="1" spans="2:10" s="1" customFormat="1" ht="15.5" x14ac:dyDescent="0.35">
      <c r="B1" s="2" t="str">
        <f>Intro!B1</f>
        <v>Crocs Inc (CROX)</v>
      </c>
    </row>
    <row r="2" spans="2:10" s="1" customFormat="1" ht="14.5" x14ac:dyDescent="0.35">
      <c r="B2" s="4" t="s">
        <v>90</v>
      </c>
    </row>
    <row r="3" spans="2:10" s="1" customFormat="1" ht="14.5" x14ac:dyDescent="0.35">
      <c r="B3" s="11" t="s">
        <v>3</v>
      </c>
    </row>
    <row r="4" spans="2:10" x14ac:dyDescent="0.3">
      <c r="E4" s="57"/>
    </row>
    <row r="5" spans="2:10" x14ac:dyDescent="0.3">
      <c r="C5" s="12" t="s">
        <v>4</v>
      </c>
      <c r="D5" s="12"/>
      <c r="E5" s="79"/>
      <c r="F5" s="13" t="s">
        <v>5</v>
      </c>
      <c r="G5" s="13"/>
      <c r="H5" s="13"/>
      <c r="I5" s="13"/>
      <c r="J5" s="13"/>
    </row>
    <row r="6" spans="2:10" x14ac:dyDescent="0.3">
      <c r="C6" s="14">
        <v>2022</v>
      </c>
      <c r="D6" s="14">
        <v>2023</v>
      </c>
      <c r="E6" s="80">
        <v>2024</v>
      </c>
      <c r="F6" s="14">
        <v>2025</v>
      </c>
      <c r="G6" s="14">
        <v>2026</v>
      </c>
      <c r="H6" s="14">
        <v>2027</v>
      </c>
      <c r="I6" s="14">
        <v>2028</v>
      </c>
      <c r="J6" s="14">
        <v>2029</v>
      </c>
    </row>
    <row r="7" spans="2:10" x14ac:dyDescent="0.3">
      <c r="B7" s="43" t="s">
        <v>17</v>
      </c>
      <c r="C7" s="204">
        <f>'Income Statement'!C21</f>
        <v>540159</v>
      </c>
      <c r="D7" s="204">
        <f>'Income Statement'!D21</f>
        <v>792566</v>
      </c>
      <c r="E7" s="211">
        <f>'Income Statement'!E21</f>
        <v>950071</v>
      </c>
      <c r="F7" s="204">
        <f ca="1">'Income Statement'!F21</f>
        <v>778752.52352566109</v>
      </c>
      <c r="G7" s="204">
        <f ca="1">'Income Statement'!G21</f>
        <v>814219.04395107459</v>
      </c>
      <c r="H7" s="204">
        <f ca="1">'Income Statement'!H21</f>
        <v>843049.60368352127</v>
      </c>
      <c r="I7" s="204">
        <f ca="1">'Income Statement'!I21</f>
        <v>866940.4232621023</v>
      </c>
      <c r="J7" s="204">
        <f ca="1">'Income Statement'!J21</f>
        <v>897391.89772188431</v>
      </c>
    </row>
    <row r="8" spans="2:10" x14ac:dyDescent="0.3">
      <c r="B8" s="44" t="s">
        <v>91</v>
      </c>
      <c r="C8" s="31"/>
      <c r="D8" s="31"/>
      <c r="E8" s="121"/>
      <c r="F8" s="122">
        <f>-'Asset Schedule'!F8</f>
        <v>45004.165545677926</v>
      </c>
      <c r="G8" s="122">
        <f>-'Asset Schedule'!G8</f>
        <v>60196.580157019744</v>
      </c>
      <c r="H8" s="122">
        <f>-'Asset Schedule'!H8</f>
        <v>77507.790165037004</v>
      </c>
      <c r="I8" s="122">
        <f>-'Asset Schedule'!I8</f>
        <v>95921.933206713962</v>
      </c>
      <c r="J8" s="122">
        <f>-'Asset Schedule'!J8</f>
        <v>113914.77421498677</v>
      </c>
    </row>
    <row r="9" spans="2:10" x14ac:dyDescent="0.3">
      <c r="B9" s="44" t="s">
        <v>92</v>
      </c>
      <c r="C9" s="123"/>
      <c r="D9" s="123"/>
      <c r="E9" s="124"/>
      <c r="F9" s="125">
        <f>-'Asset Schedule'!F14</f>
        <v>22532.418364281366</v>
      </c>
      <c r="G9" s="125">
        <f>-'Asset Schedule'!G14</f>
        <v>22387.519047552218</v>
      </c>
      <c r="H9" s="125">
        <f>-'Asset Schedule'!H14</f>
        <v>22243.551535463343</v>
      </c>
      <c r="I9" s="125">
        <f>-'Asset Schedule'!I14</f>
        <v>22100.509835854766</v>
      </c>
      <c r="J9" s="125">
        <f>-'Asset Schedule'!J14</f>
        <v>21958.387995100307</v>
      </c>
    </row>
    <row r="10" spans="2:10" x14ac:dyDescent="0.3">
      <c r="B10" s="75" t="s">
        <v>93</v>
      </c>
      <c r="C10" s="31"/>
      <c r="D10" s="31"/>
      <c r="E10" s="121"/>
      <c r="F10" s="120">
        <f>SUM(F8:F9)</f>
        <v>67536.583909959299</v>
      </c>
      <c r="G10" s="120">
        <f t="shared" ref="G10:J10" si="0">SUM(G8:G9)</f>
        <v>82584.099204571961</v>
      </c>
      <c r="H10" s="120">
        <f t="shared" si="0"/>
        <v>99751.341700500343</v>
      </c>
      <c r="I10" s="120">
        <f t="shared" si="0"/>
        <v>118022.44304256873</v>
      </c>
      <c r="J10" s="120">
        <f t="shared" si="0"/>
        <v>135873.16221008709</v>
      </c>
    </row>
    <row r="11" spans="2:10" x14ac:dyDescent="0.3">
      <c r="B11" s="44" t="s">
        <v>94</v>
      </c>
      <c r="C11" s="31"/>
      <c r="D11" s="31"/>
      <c r="E11" s="121"/>
      <c r="F11" s="122">
        <f>'Balance Sheet'!E9-'Balance Sheet'!F9</f>
        <v>-56587.488121180038</v>
      </c>
      <c r="G11" s="122">
        <f>'Balance Sheet'!F9-'Balance Sheet'!G9</f>
        <v>-8641.7234233324998</v>
      </c>
      <c r="H11" s="122">
        <f>'Balance Sheet'!G9-'Balance Sheet'!H9</f>
        <v>-8072.1552886127611</v>
      </c>
      <c r="I11" s="122">
        <f>'Balance Sheet'!H9-'Balance Sheet'!I9</f>
        <v>-7446.5632537453203</v>
      </c>
      <c r="J11" s="122">
        <f>'Balance Sheet'!I9-'Balance Sheet'!J9</f>
        <v>-6768.0986017374089</v>
      </c>
    </row>
    <row r="12" spans="2:10" x14ac:dyDescent="0.3">
      <c r="B12" s="44" t="s">
        <v>95</v>
      </c>
      <c r="C12" s="31"/>
      <c r="D12" s="31"/>
      <c r="E12" s="121"/>
      <c r="F12" s="122">
        <f>'Balance Sheet'!E10-'Balance Sheet'!F10</f>
        <v>-86623.456893169612</v>
      </c>
      <c r="G12" s="122">
        <f>'Balance Sheet'!F10-'Balance Sheet'!G10</f>
        <v>-12179.130064562254</v>
      </c>
      <c r="H12" s="122">
        <f>'Balance Sheet'!G10-'Balance Sheet'!H10</f>
        <v>-11376.414673943305</v>
      </c>
      <c r="I12" s="122">
        <f>'Balance Sheet'!H10-'Balance Sheet'!I10</f>
        <v>-10494.742536712612</v>
      </c>
      <c r="J12" s="122">
        <f>'Balance Sheet'!I10-'Balance Sheet'!J10</f>
        <v>-9538.5548833678477</v>
      </c>
    </row>
    <row r="13" spans="2:10" x14ac:dyDescent="0.3">
      <c r="B13" s="44" t="s">
        <v>96</v>
      </c>
      <c r="C13" s="31"/>
      <c r="D13" s="31"/>
      <c r="E13" s="121"/>
      <c r="F13" s="122">
        <f>'Balance Sheet'!E11-'Balance Sheet'!F11</f>
        <v>0</v>
      </c>
      <c r="G13" s="122">
        <f>'Balance Sheet'!F11-'Balance Sheet'!G11</f>
        <v>0</v>
      </c>
      <c r="H13" s="122">
        <f>'Balance Sheet'!G11-'Balance Sheet'!H11</f>
        <v>0</v>
      </c>
      <c r="I13" s="122">
        <f>'Balance Sheet'!H11-'Balance Sheet'!I11</f>
        <v>0</v>
      </c>
      <c r="J13" s="122">
        <f>'Balance Sheet'!I11-'Balance Sheet'!J11</f>
        <v>0</v>
      </c>
    </row>
    <row r="14" spans="2:10" x14ac:dyDescent="0.3">
      <c r="B14" s="44" t="s">
        <v>97</v>
      </c>
      <c r="C14" s="31"/>
      <c r="D14" s="31"/>
      <c r="E14" s="121"/>
      <c r="F14" s="122">
        <f>'Balance Sheet'!E12-'Balance Sheet'!F12</f>
        <v>0</v>
      </c>
      <c r="G14" s="122">
        <f>'Balance Sheet'!F12-'Balance Sheet'!G12</f>
        <v>0</v>
      </c>
      <c r="H14" s="122">
        <f>'Balance Sheet'!G12-'Balance Sheet'!H12</f>
        <v>0</v>
      </c>
      <c r="I14" s="122">
        <f>'Balance Sheet'!H12-'Balance Sheet'!I12</f>
        <v>0</v>
      </c>
      <c r="J14" s="122">
        <f>'Balance Sheet'!I12-'Balance Sheet'!J12</f>
        <v>0</v>
      </c>
    </row>
    <row r="15" spans="2:10" x14ac:dyDescent="0.3">
      <c r="B15" s="44" t="s">
        <v>98</v>
      </c>
      <c r="C15" s="31"/>
      <c r="D15" s="31"/>
      <c r="E15" s="121"/>
      <c r="F15" s="122">
        <f>'Balance Sheet'!E13-'Balance Sheet'!F13</f>
        <v>4060.0478433705939</v>
      </c>
      <c r="G15" s="122">
        <f>'Balance Sheet'!F13-'Balance Sheet'!G13</f>
        <v>-1307.9811843073257</v>
      </c>
      <c r="H15" s="122">
        <f>'Balance Sheet'!G13-'Balance Sheet'!H13</f>
        <v>-1221.7733335234152</v>
      </c>
      <c r="I15" s="122">
        <f>'Balance Sheet'!H13-'Balance Sheet'!I13</f>
        <v>-1127.0859001753415</v>
      </c>
      <c r="J15" s="122">
        <f>'Balance Sheet'!I13-'Balance Sheet'!J13</f>
        <v>-1024.3958514927217</v>
      </c>
    </row>
    <row r="16" spans="2:10" x14ac:dyDescent="0.3">
      <c r="B16" s="44" t="s">
        <v>99</v>
      </c>
      <c r="C16" s="31"/>
      <c r="D16" s="31"/>
      <c r="E16" s="121"/>
      <c r="F16" s="122">
        <f>'Balance Sheet'!E22-'Balance Sheet'!F22</f>
        <v>1598.7889294369306</v>
      </c>
      <c r="G16" s="122">
        <f>'Balance Sheet'!F22-'Balance Sheet'!G22</f>
        <v>-621.72580444048799</v>
      </c>
      <c r="H16" s="122">
        <f>'Balance Sheet'!G22-'Balance Sheet'!H22</f>
        <v>-580.74842187509057</v>
      </c>
      <c r="I16" s="122">
        <f>'Balance Sheet'!H22-'Balance Sheet'!I22</f>
        <v>-535.74041917976501</v>
      </c>
      <c r="J16" s="122">
        <f>'Balance Sheet'!I22-'Balance Sheet'!J22</f>
        <v>-486.92851432117095</v>
      </c>
    </row>
    <row r="17" spans="2:10" x14ac:dyDescent="0.3">
      <c r="C17" s="31"/>
      <c r="D17" s="31"/>
      <c r="E17" s="121"/>
      <c r="F17" s="122"/>
      <c r="G17" s="122"/>
      <c r="H17" s="122"/>
      <c r="I17" s="122"/>
      <c r="J17" s="122"/>
    </row>
    <row r="18" spans="2:10" x14ac:dyDescent="0.3">
      <c r="B18" s="44" t="s">
        <v>100</v>
      </c>
      <c r="C18" s="31"/>
      <c r="D18" s="31"/>
      <c r="E18" s="121"/>
      <c r="F18" s="122">
        <f>'Balance Sheet'!F28-'Balance Sheet'!E28</f>
        <v>11184.135773736867</v>
      </c>
      <c r="G18" s="122">
        <f>'Balance Sheet'!G28-'Balance Sheet'!F28</f>
        <v>7592.3412337778718</v>
      </c>
      <c r="H18" s="122">
        <f>'Balance Sheet'!H28-'Balance Sheet'!G28</f>
        <v>7091.9369251878234</v>
      </c>
      <c r="I18" s="122">
        <f>'Balance Sheet'!I28-'Balance Sheet'!H28</f>
        <v>6542.3118134857505</v>
      </c>
      <c r="J18" s="122">
        <f>'Balance Sheet'!J28-'Balance Sheet'!I28</f>
        <v>5946.2345149238245</v>
      </c>
    </row>
    <row r="19" spans="2:10" x14ac:dyDescent="0.3">
      <c r="B19" s="44" t="s">
        <v>101</v>
      </c>
      <c r="C19" s="31"/>
      <c r="D19" s="31"/>
      <c r="E19" s="121"/>
      <c r="F19" s="122">
        <f>'Balance Sheet'!F29-'Balance Sheet'!E29</f>
        <v>2286.7853604790871</v>
      </c>
      <c r="G19" s="122">
        <f>'Balance Sheet'!G29-'Balance Sheet'!F29</f>
        <v>8259.7565974132158</v>
      </c>
      <c r="H19" s="122">
        <f>'Balance Sheet'!H29-'Balance Sheet'!G29</f>
        <v>7715.3635489473236</v>
      </c>
      <c r="I19" s="122">
        <f>'Balance Sheet'!I29-'Balance Sheet'!H29</f>
        <v>7117.4228739038226</v>
      </c>
      <c r="J19" s="122">
        <f>'Balance Sheet'!J29-'Balance Sheet'!I29</f>
        <v>6468.9465676149121</v>
      </c>
    </row>
    <row r="20" spans="2:10" x14ac:dyDescent="0.3">
      <c r="B20" s="44" t="s">
        <v>102</v>
      </c>
      <c r="C20" s="31"/>
      <c r="D20" s="31"/>
      <c r="E20" s="121"/>
      <c r="F20" s="122">
        <f>'Balance Sheet'!F30-'Balance Sheet'!E30</f>
        <v>-12586.55500933624</v>
      </c>
      <c r="G20" s="122">
        <f>'Balance Sheet'!G30-'Balance Sheet'!F30</f>
        <v>2642.7897372432635</v>
      </c>
      <c r="H20" s="122">
        <f>'Balance Sheet'!H30-'Balance Sheet'!G30</f>
        <v>2468.605868197672</v>
      </c>
      <c r="I20" s="122">
        <f>'Balance Sheet'!I30-'Balance Sheet'!H30</f>
        <v>2277.2889134123543</v>
      </c>
      <c r="J20" s="122">
        <f>'Balance Sheet'!J30-'Balance Sheet'!I30</f>
        <v>2069.8025901903457</v>
      </c>
    </row>
    <row r="21" spans="2:10" x14ac:dyDescent="0.3">
      <c r="B21" s="44" t="s">
        <v>103</v>
      </c>
      <c r="C21" s="31"/>
      <c r="D21" s="31"/>
      <c r="E21" s="121"/>
      <c r="F21" s="122">
        <f>'Balance Sheet'!F39-'Balance Sheet'!E39</f>
        <v>-551.29560747593314</v>
      </c>
      <c r="G21" s="122">
        <f>'Balance Sheet'!G39-'Balance Sheet'!F39</f>
        <v>93.409370794413007</v>
      </c>
      <c r="H21" s="122">
        <f>'Balance Sheet'!H39-'Balance Sheet'!G39</f>
        <v>87.252844082961474</v>
      </c>
      <c r="I21" s="122">
        <f>'Balance Sheet'!I39-'Balance Sheet'!H39</f>
        <v>80.490748666531999</v>
      </c>
      <c r="J21" s="122">
        <f>'Balance Sheet'!J39-'Balance Sheet'!I39</f>
        <v>73.15714712136014</v>
      </c>
    </row>
    <row r="22" spans="2:10" x14ac:dyDescent="0.3">
      <c r="C22" s="31"/>
      <c r="D22" s="31"/>
      <c r="E22" s="121"/>
      <c r="F22" s="31"/>
      <c r="G22" s="31"/>
      <c r="H22" s="31"/>
      <c r="I22" s="31"/>
      <c r="J22" s="31"/>
    </row>
    <row r="23" spans="2:10" x14ac:dyDescent="0.3">
      <c r="B23" s="75" t="s">
        <v>104</v>
      </c>
      <c r="C23" s="126"/>
      <c r="D23" s="126"/>
      <c r="E23" s="127"/>
      <c r="F23" s="128">
        <f>SUM(F11:F21)</f>
        <v>-137219.03772413835</v>
      </c>
      <c r="G23" s="128">
        <f t="shared" ref="G23:J23" si="1">SUM(G11:G21)</f>
        <v>-4162.2635374138035</v>
      </c>
      <c r="H23" s="128">
        <f t="shared" si="1"/>
        <v>-3887.9325315387919</v>
      </c>
      <c r="I23" s="128">
        <f t="shared" si="1"/>
        <v>-3586.6177603445799</v>
      </c>
      <c r="J23" s="128">
        <f t="shared" si="1"/>
        <v>-3259.8370310687069</v>
      </c>
    </row>
    <row r="24" spans="2:10" x14ac:dyDescent="0.3">
      <c r="B24" s="76" t="s">
        <v>105</v>
      </c>
      <c r="C24" s="129"/>
      <c r="D24" s="129"/>
      <c r="E24" s="130"/>
      <c r="F24" s="131">
        <f ca="1">SUM(F23,F10,F7)</f>
        <v>709070.06971148204</v>
      </c>
      <c r="G24" s="131">
        <f t="shared" ref="G24:J24" ca="1" si="2">SUM(G23,G10,G7)</f>
        <v>892640.87961823272</v>
      </c>
      <c r="H24" s="131">
        <f t="shared" ca="1" si="2"/>
        <v>938913.01285248285</v>
      </c>
      <c r="I24" s="131">
        <f t="shared" ca="1" si="2"/>
        <v>981376.2485443264</v>
      </c>
      <c r="J24" s="131">
        <f t="shared" ca="1" si="2"/>
        <v>1030005.2229009026</v>
      </c>
    </row>
    <row r="25" spans="2:10" x14ac:dyDescent="0.3">
      <c r="B25" s="43"/>
      <c r="C25" s="31"/>
      <c r="D25" s="31"/>
      <c r="E25" s="121"/>
      <c r="F25" s="31"/>
      <c r="G25" s="31"/>
      <c r="H25" s="31"/>
      <c r="I25" s="31"/>
      <c r="J25" s="31"/>
    </row>
    <row r="26" spans="2:10" x14ac:dyDescent="0.3">
      <c r="B26" s="44" t="s">
        <v>106</v>
      </c>
      <c r="C26" s="31"/>
      <c r="D26" s="31"/>
      <c r="E26" s="121"/>
      <c r="F26" s="122">
        <f>-'Asset Schedule'!F9</f>
        <v>-153859.33627475056</v>
      </c>
      <c r="G26" s="122">
        <f>-'Asset Schedule'!G9</f>
        <v>-189458.00227495734</v>
      </c>
      <c r="H26" s="122">
        <f>-'Asset Schedule'!H9</f>
        <v>-222901.82338201796</v>
      </c>
      <c r="I26" s="122">
        <f>-'Asset Schedule'!I9</f>
        <v>-249819.58911015373</v>
      </c>
      <c r="J26" s="122">
        <f>-'Asset Schedule'!J9</f>
        <v>-265757.13905644882</v>
      </c>
    </row>
    <row r="27" spans="2:10" x14ac:dyDescent="0.3">
      <c r="B27" s="44" t="s">
        <v>107</v>
      </c>
      <c r="C27" s="31"/>
      <c r="D27" s="31"/>
      <c r="E27" s="121"/>
      <c r="F27" s="122">
        <f>-'Asset Schedule'!F10</f>
        <v>26373.058705584757</v>
      </c>
      <c r="G27" s="122">
        <f>-'Asset Schedule'!G10</f>
        <v>35276.022188327981</v>
      </c>
      <c r="H27" s="122">
        <f>-'Asset Schedule'!H10</f>
        <v>45420.628854632254</v>
      </c>
      <c r="I27" s="122">
        <f>-'Asset Schedule'!I10</f>
        <v>56211.569416751423</v>
      </c>
      <c r="J27" s="122">
        <f>-'Asset Schedule'!J10</f>
        <v>66755.621204797586</v>
      </c>
    </row>
    <row r="28" spans="2:10" x14ac:dyDescent="0.3">
      <c r="B28" s="44" t="s">
        <v>108</v>
      </c>
      <c r="C28" s="31"/>
      <c r="D28" s="31"/>
      <c r="E28" s="121"/>
      <c r="F28" s="122">
        <f>-'Asset Schedule'!F15</f>
        <v>-11104.542598348122</v>
      </c>
      <c r="G28" s="122">
        <f>-'Asset Schedule'!G15</f>
        <v>-11033.132569958047</v>
      </c>
      <c r="H28" s="122">
        <f>-'Asset Schedule'!H15</f>
        <v>-10962.181758335299</v>
      </c>
      <c r="I28" s="122">
        <f>-'Asset Schedule'!I15</f>
        <v>-10891.687210392698</v>
      </c>
      <c r="J28" s="122">
        <f>-'Asset Schedule'!J15</f>
        <v>-10821.645992033495</v>
      </c>
    </row>
    <row r="29" spans="2:10" x14ac:dyDescent="0.3">
      <c r="B29" s="76" t="s">
        <v>109</v>
      </c>
      <c r="C29" s="129"/>
      <c r="D29" s="129"/>
      <c r="E29" s="130"/>
      <c r="F29" s="129">
        <f>SUM(F26:F28)</f>
        <v>-138590.82016751391</v>
      </c>
      <c r="G29" s="129">
        <f t="shared" ref="G29:J29" si="3">SUM(G26:G28)</f>
        <v>-165215.11265658741</v>
      </c>
      <c r="H29" s="129">
        <f t="shared" si="3"/>
        <v>-188443.37628572099</v>
      </c>
      <c r="I29" s="129">
        <f t="shared" si="3"/>
        <v>-204499.70690379501</v>
      </c>
      <c r="J29" s="129">
        <f t="shared" si="3"/>
        <v>-209823.16384368474</v>
      </c>
    </row>
    <row r="30" spans="2:10" x14ac:dyDescent="0.3">
      <c r="B30" s="44"/>
      <c r="C30" s="31"/>
      <c r="D30" s="31"/>
      <c r="E30" s="121"/>
      <c r="F30" s="31"/>
      <c r="G30" s="31"/>
      <c r="H30" s="31"/>
      <c r="I30" s="31"/>
      <c r="J30" s="31"/>
    </row>
    <row r="31" spans="2:10" x14ac:dyDescent="0.3">
      <c r="B31" s="44"/>
      <c r="C31" s="31"/>
      <c r="D31" s="31"/>
      <c r="E31" s="121"/>
      <c r="F31" s="31"/>
      <c r="G31" s="31"/>
      <c r="H31" s="31"/>
      <c r="I31" s="31"/>
      <c r="J31" s="31"/>
    </row>
    <row r="32" spans="2:10" x14ac:dyDescent="0.3">
      <c r="B32" s="46" t="s">
        <v>110</v>
      </c>
      <c r="C32" s="31"/>
      <c r="D32" s="31"/>
      <c r="E32" s="121"/>
      <c r="F32" s="122">
        <f ca="1">'Debt Schedule'!G107</f>
        <v>-108692.12030564777</v>
      </c>
      <c r="G32" s="122">
        <f ca="1">'Debt Schedule'!H107</f>
        <v>-230018.28783483134</v>
      </c>
      <c r="H32" s="122">
        <f ca="1">'Debt Schedule'!I107</f>
        <v>-319911.74202241679</v>
      </c>
      <c r="I32" s="122">
        <f ca="1">'Debt Schedule'!J107</f>
        <v>-387710.66607187968</v>
      </c>
      <c r="J32" s="122">
        <f ca="1">'Debt Schedule'!K107</f>
        <v>-299687.79614390992</v>
      </c>
    </row>
    <row r="33" spans="2:10" x14ac:dyDescent="0.3">
      <c r="B33" s="46" t="s">
        <v>111</v>
      </c>
      <c r="C33" s="31"/>
      <c r="D33" s="31"/>
      <c r="E33" s="121"/>
      <c r="F33" s="122">
        <f>'Debt Schedule'!G97</f>
        <v>8132.2</v>
      </c>
      <c r="G33" s="122">
        <f>'Debt Schedule'!H97</f>
        <v>8132.2</v>
      </c>
      <c r="H33" s="122">
        <f>'Debt Schedule'!I97</f>
        <v>8132.2</v>
      </c>
      <c r="I33" s="122">
        <f>'Debt Schedule'!J97</f>
        <v>8132.2</v>
      </c>
      <c r="J33" s="122">
        <f>'Debt Schedule'!K97</f>
        <v>8132.2</v>
      </c>
    </row>
    <row r="34" spans="2:10" x14ac:dyDescent="0.3">
      <c r="B34" s="77" t="s">
        <v>112</v>
      </c>
      <c r="C34" s="31"/>
      <c r="D34" s="31"/>
      <c r="E34" s="121"/>
      <c r="F34" s="122">
        <f ca="1">'Debt Schedule'!G98</f>
        <v>-195000</v>
      </c>
      <c r="G34" s="122">
        <f ca="1">'Debt Schedule'!H98</f>
        <v>-5000</v>
      </c>
      <c r="H34" s="122">
        <f ca="1">'Debt Schedule'!I98</f>
        <v>-5000</v>
      </c>
      <c r="I34" s="122">
        <f ca="1">'Debt Schedule'!J98</f>
        <v>-5000</v>
      </c>
      <c r="J34" s="122">
        <f ca="1">'Debt Schedule'!K98</f>
        <v>-830000</v>
      </c>
    </row>
    <row r="35" spans="2:10" x14ac:dyDescent="0.3">
      <c r="B35" s="76" t="s">
        <v>113</v>
      </c>
      <c r="C35" s="129"/>
      <c r="D35" s="129"/>
      <c r="E35" s="130"/>
      <c r="F35" s="129">
        <f ca="1">SUM(F32:F34)</f>
        <v>-295559.92030564777</v>
      </c>
      <c r="G35" s="129">
        <f ca="1">SUM(G32:G34)</f>
        <v>-226886.08783483133</v>
      </c>
      <c r="H35" s="129">
        <f ca="1">SUM(H32:H34)</f>
        <v>-316779.54202241678</v>
      </c>
      <c r="I35" s="129">
        <f ca="1">SUM(I32:I34)</f>
        <v>-384578.46607187967</v>
      </c>
      <c r="J35" s="129">
        <f ca="1">SUM(J32:J34)</f>
        <v>-1121555.59614391</v>
      </c>
    </row>
    <row r="36" spans="2:10" x14ac:dyDescent="0.3">
      <c r="B36" s="44"/>
      <c r="C36" s="31"/>
      <c r="D36" s="31"/>
      <c r="E36" s="121"/>
      <c r="F36" s="31"/>
      <c r="G36" s="31"/>
      <c r="H36" s="31"/>
      <c r="I36" s="31"/>
      <c r="J36" s="31"/>
    </row>
    <row r="37" spans="2:10" x14ac:dyDescent="0.3">
      <c r="B37" s="78" t="s">
        <v>114</v>
      </c>
      <c r="C37" s="129"/>
      <c r="D37" s="129"/>
      <c r="E37" s="130"/>
      <c r="F37" s="129">
        <f ca="1">SUM(F35,F29,F24)</f>
        <v>274919.32923832035</v>
      </c>
      <c r="G37" s="129">
        <f ca="1">SUM(G35,G29,G24)</f>
        <v>500539.67912681401</v>
      </c>
      <c r="H37" s="129">
        <f ca="1">SUM(H35,H29,H24)</f>
        <v>433690.09454434505</v>
      </c>
      <c r="I37" s="129">
        <f ca="1">SUM(I35,I29,I24)</f>
        <v>392298.07556865166</v>
      </c>
      <c r="J37" s="129">
        <f ca="1">SUM(J35,J29,J24)</f>
        <v>-301373.53708669217</v>
      </c>
    </row>
    <row r="38" spans="2:10" x14ac:dyDescent="0.3">
      <c r="B38" s="15" t="s">
        <v>115</v>
      </c>
      <c r="C38" s="31"/>
      <c r="D38" s="31"/>
      <c r="E38" s="121"/>
      <c r="F38" s="31">
        <f>'Balance Sheet'!E8</f>
        <v>180485</v>
      </c>
      <c r="G38" s="31">
        <f ca="1">'Balance Sheet'!F8</f>
        <v>455404.32923832035</v>
      </c>
      <c r="H38" s="31">
        <f ca="1">'Balance Sheet'!G8</f>
        <v>955944.00836513436</v>
      </c>
      <c r="I38" s="31">
        <f ca="1">'Balance Sheet'!H8</f>
        <v>1389634.1029094793</v>
      </c>
      <c r="J38" s="31">
        <f ca="1">'Balance Sheet'!I8</f>
        <v>1781932.1784781311</v>
      </c>
    </row>
    <row r="39" spans="2:10" x14ac:dyDescent="0.3">
      <c r="B39" s="15" t="s">
        <v>116</v>
      </c>
      <c r="C39" s="31"/>
      <c r="D39" s="31"/>
      <c r="E39" s="121"/>
      <c r="F39" s="31">
        <f ca="1">F37+F38</f>
        <v>455404.32923832035</v>
      </c>
      <c r="G39" s="31">
        <f t="shared" ref="G39:J39" ca="1" si="4">G37+G38</f>
        <v>955944.00836513436</v>
      </c>
      <c r="H39" s="31">
        <f t="shared" ca="1" si="4"/>
        <v>1389634.1029094793</v>
      </c>
      <c r="I39" s="31">
        <f t="shared" ca="1" si="4"/>
        <v>1781932.1784781311</v>
      </c>
      <c r="J39" s="31">
        <f t="shared" ca="1" si="4"/>
        <v>1480558.6413914389</v>
      </c>
    </row>
    <row r="40" spans="2:10" x14ac:dyDescent="0.3">
      <c r="E40" s="57"/>
    </row>
    <row r="41" spans="2:10" x14ac:dyDescent="0.3">
      <c r="E41" s="57"/>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7FC58-1256-469C-BDF9-34BFF2D9DD66}">
  <dimension ref="B1:R116"/>
  <sheetViews>
    <sheetView showGridLines="0" zoomScale="97" workbookViewId="0">
      <selection activeCell="L80" sqref="L80"/>
    </sheetView>
  </sheetViews>
  <sheetFormatPr defaultColWidth="9.1796875" defaultRowHeight="13" x14ac:dyDescent="0.3"/>
  <cols>
    <col min="1" max="1" width="9.1796875" style="15"/>
    <col min="2" max="2" width="36.81640625" style="15" bestFit="1" customWidth="1"/>
    <col min="3" max="3" width="14.26953125" style="15" bestFit="1" customWidth="1"/>
    <col min="4" max="6" width="9.26953125" style="15" bestFit="1" customWidth="1"/>
    <col min="7" max="7" width="11.7265625" style="15" bestFit="1" customWidth="1"/>
    <col min="8" max="11" width="10.26953125" style="15" bestFit="1" customWidth="1"/>
    <col min="12" max="16384" width="9.1796875" style="15"/>
  </cols>
  <sheetData>
    <row r="1" spans="2:14" s="1" customFormat="1" ht="15.5" x14ac:dyDescent="0.35">
      <c r="B1" s="2" t="str">
        <f>Intro!B1</f>
        <v>Crocs Inc (CROX)</v>
      </c>
    </row>
    <row r="2" spans="2:14" s="1" customFormat="1" ht="14.5" x14ac:dyDescent="0.35">
      <c r="B2" s="4" t="s">
        <v>117</v>
      </c>
    </row>
    <row r="3" spans="2:14" s="1" customFormat="1" ht="14.5" x14ac:dyDescent="0.35">
      <c r="B3" s="11" t="s">
        <v>3</v>
      </c>
    </row>
    <row r="5" spans="2:14" x14ac:dyDescent="0.3">
      <c r="D5" s="12" t="s">
        <v>4</v>
      </c>
      <c r="E5" s="12"/>
      <c r="F5" s="79"/>
      <c r="G5" s="13" t="s">
        <v>5</v>
      </c>
      <c r="H5" s="13"/>
      <c r="I5" s="13"/>
      <c r="J5" s="13"/>
      <c r="K5" s="13"/>
    </row>
    <row r="6" spans="2:14" x14ac:dyDescent="0.3">
      <c r="D6" s="14">
        <v>2022</v>
      </c>
      <c r="E6" s="14">
        <v>2023</v>
      </c>
      <c r="F6" s="80">
        <v>2024</v>
      </c>
      <c r="G6" s="14">
        <v>2025</v>
      </c>
      <c r="H6" s="14">
        <v>2026</v>
      </c>
      <c r="I6" s="14">
        <v>2027</v>
      </c>
      <c r="J6" s="14">
        <v>2028</v>
      </c>
      <c r="K6" s="14">
        <v>2029</v>
      </c>
    </row>
    <row r="7" spans="2:14" x14ac:dyDescent="0.3">
      <c r="B7" s="43" t="s">
        <v>118</v>
      </c>
      <c r="F7" s="57"/>
      <c r="G7" s="204">
        <f>'Balance Sheet'!E8</f>
        <v>180485</v>
      </c>
      <c r="H7" s="204">
        <f ca="1">'Balance Sheet'!F8</f>
        <v>455404.32923832035</v>
      </c>
      <c r="I7" s="204">
        <f ca="1">'Balance Sheet'!G8</f>
        <v>955944.00836513436</v>
      </c>
      <c r="J7" s="204">
        <f ca="1">'Balance Sheet'!H8</f>
        <v>1389634.1029094793</v>
      </c>
      <c r="K7" s="204">
        <f ca="1">'Balance Sheet'!I8</f>
        <v>1781932.1784781311</v>
      </c>
    </row>
    <row r="8" spans="2:14" x14ac:dyDescent="0.3">
      <c r="B8" s="44" t="s">
        <v>119</v>
      </c>
      <c r="F8" s="57"/>
      <c r="G8" s="31">
        <f>-($C$14*'Income Statement'!F7)</f>
        <v>-42251.712400000004</v>
      </c>
      <c r="H8" s="31">
        <f>-($C$14*'Income Statement'!G7)</f>
        <v>-43413.634491000012</v>
      </c>
      <c r="I8" s="31">
        <f>-($C$14*'Income Statement'!H7)</f>
        <v>-44498.975353275011</v>
      </c>
      <c r="J8" s="31">
        <f>-($C$14*'Income Statement'!I7)</f>
        <v>-45500.202298723692</v>
      </c>
      <c r="K8" s="31">
        <f>-($C$14*'Income Statement'!J7)</f>
        <v>-46410.206344698163</v>
      </c>
    </row>
    <row r="9" spans="2:14" x14ac:dyDescent="0.3">
      <c r="B9" s="44" t="s">
        <v>120</v>
      </c>
      <c r="F9" s="57"/>
      <c r="G9" s="122">
        <f ca="1">'Statement of Cash Flows'!F24</f>
        <v>709070.06971148204</v>
      </c>
      <c r="H9" s="122">
        <f ca="1">'Statement of Cash Flows'!G24</f>
        <v>892640.87961823272</v>
      </c>
      <c r="I9" s="122">
        <f ca="1">'Statement of Cash Flows'!H24</f>
        <v>938913.01285248285</v>
      </c>
      <c r="J9" s="122">
        <f ca="1">'Statement of Cash Flows'!I24</f>
        <v>981376.2485443264</v>
      </c>
      <c r="K9" s="122">
        <f ca="1">'Statement of Cash Flows'!J24</f>
        <v>1030005.2229009026</v>
      </c>
    </row>
    <row r="10" spans="2:14" x14ac:dyDescent="0.3">
      <c r="B10" s="44" t="s">
        <v>121</v>
      </c>
      <c r="F10" s="57"/>
      <c r="G10" s="122">
        <f>SUM('Statement of Cash Flows'!F29)</f>
        <v>-138590.82016751391</v>
      </c>
      <c r="H10" s="122">
        <f>SUM('Statement of Cash Flows'!G29)</f>
        <v>-165215.11265658741</v>
      </c>
      <c r="I10" s="122">
        <f>SUM('Statement of Cash Flows'!H29)</f>
        <v>-188443.37628572099</v>
      </c>
      <c r="J10" s="122">
        <f>SUM('Statement of Cash Flows'!I29)</f>
        <v>-204499.70690379501</v>
      </c>
      <c r="K10" s="122">
        <f>SUM('Statement of Cash Flows'!J29)</f>
        <v>-209823.16384368474</v>
      </c>
    </row>
    <row r="11" spans="2:14" x14ac:dyDescent="0.3">
      <c r="B11" s="44" t="s">
        <v>122</v>
      </c>
      <c r="F11" s="57"/>
      <c r="G11" s="213">
        <f>SUM(G64)</f>
        <v>-5000</v>
      </c>
      <c r="H11" s="213">
        <f t="shared" ref="H11:K11" si="0">SUM(H64)</f>
        <v>-5000</v>
      </c>
      <c r="I11" s="213">
        <f t="shared" si="0"/>
        <v>-5000</v>
      </c>
      <c r="J11" s="213">
        <f t="shared" si="0"/>
        <v>-5000</v>
      </c>
      <c r="K11" s="213">
        <f t="shared" si="0"/>
        <v>0</v>
      </c>
    </row>
    <row r="12" spans="2:14" ht="13.5" thickBot="1" x14ac:dyDescent="0.35">
      <c r="B12" s="45" t="s">
        <v>123</v>
      </c>
      <c r="C12" s="166"/>
      <c r="D12" s="166"/>
      <c r="E12" s="166"/>
      <c r="F12" s="167"/>
      <c r="G12" s="168">
        <f ca="1">SUM(G7:G11)</f>
        <v>703712.53714396816</v>
      </c>
      <c r="H12" s="168">
        <f ca="1">SUM(H7:H11)</f>
        <v>1134416.4617089655</v>
      </c>
      <c r="I12" s="168">
        <f ca="1">SUM(I7:I11)</f>
        <v>1656914.6695786212</v>
      </c>
      <c r="J12" s="168">
        <f ca="1">SUM(J7:J11)</f>
        <v>2116010.4422512874</v>
      </c>
      <c r="K12" s="168">
        <f ca="1">SUM(K7:K11)</f>
        <v>2555704.0311906505</v>
      </c>
      <c r="N12" s="202"/>
    </row>
    <row r="13" spans="2:14" ht="13.5" thickTop="1" x14ac:dyDescent="0.3">
      <c r="F13" s="57"/>
    </row>
    <row r="14" spans="2:14" x14ac:dyDescent="0.3">
      <c r="B14" s="184" t="s">
        <v>124</v>
      </c>
      <c r="C14" s="203">
        <v>0.01</v>
      </c>
      <c r="F14" s="57"/>
      <c r="G14" s="65"/>
    </row>
    <row r="15" spans="2:14" x14ac:dyDescent="0.3">
      <c r="F15" s="57"/>
    </row>
    <row r="16" spans="2:14" x14ac:dyDescent="0.3">
      <c r="B16" s="46"/>
      <c r="C16" s="46"/>
      <c r="D16" s="311" t="s">
        <v>4</v>
      </c>
      <c r="E16" s="311"/>
      <c r="F16" s="312"/>
      <c r="G16" s="313" t="s">
        <v>5</v>
      </c>
      <c r="H16" s="313"/>
      <c r="I16" s="313"/>
      <c r="J16" s="313"/>
      <c r="K16" s="313"/>
    </row>
    <row r="17" spans="2:13" x14ac:dyDescent="0.3">
      <c r="B17" s="47" t="s">
        <v>125</v>
      </c>
      <c r="C17" s="47"/>
      <c r="D17" s="189">
        <v>44926</v>
      </c>
      <c r="E17" s="189">
        <v>45291</v>
      </c>
      <c r="F17" s="189">
        <v>45657</v>
      </c>
      <c r="G17" s="189">
        <v>46022</v>
      </c>
      <c r="H17" s="189">
        <v>46387</v>
      </c>
      <c r="I17" s="189">
        <v>46752</v>
      </c>
      <c r="J17" s="189">
        <v>47118</v>
      </c>
      <c r="K17" s="189">
        <v>47483</v>
      </c>
    </row>
    <row r="18" spans="2:13" x14ac:dyDescent="0.3">
      <c r="F18" s="57"/>
    </row>
    <row r="19" spans="2:13" x14ac:dyDescent="0.3">
      <c r="B19" s="15" t="s">
        <v>126</v>
      </c>
      <c r="D19" s="215"/>
      <c r="E19" s="215"/>
      <c r="F19" s="216"/>
      <c r="G19" s="217">
        <v>4.3200000000000002E-2</v>
      </c>
      <c r="H19" s="217">
        <v>3.6400000000000002E-2</v>
      </c>
      <c r="I19" s="217">
        <v>2.9899999999999999E-2</v>
      </c>
      <c r="J19" s="217">
        <v>3.0700000000000002E-2</v>
      </c>
      <c r="K19" s="217">
        <v>3.2599999999999997E-2</v>
      </c>
    </row>
    <row r="20" spans="2:13" x14ac:dyDescent="0.3">
      <c r="F20" s="57"/>
    </row>
    <row r="21" spans="2:13" x14ac:dyDescent="0.3">
      <c r="B21" s="28" t="s">
        <v>127</v>
      </c>
      <c r="C21" s="28"/>
      <c r="F21" s="57"/>
    </row>
    <row r="22" spans="2:13" x14ac:dyDescent="0.3">
      <c r="B22" s="48" t="s">
        <v>128</v>
      </c>
      <c r="C22" s="231"/>
      <c r="D22" s="55"/>
      <c r="E22" s="55"/>
      <c r="F22" s="56"/>
      <c r="G22" s="55"/>
      <c r="H22" s="55"/>
      <c r="I22" s="55"/>
      <c r="J22" s="55"/>
      <c r="K22" s="56"/>
    </row>
    <row r="23" spans="2:13" ht="13.5" x14ac:dyDescent="0.35">
      <c r="B23" s="219" t="s">
        <v>129</v>
      </c>
      <c r="C23" s="230">
        <v>1.4749999999999999E-2</v>
      </c>
      <c r="F23" s="57"/>
      <c r="K23" s="57"/>
      <c r="M23" s="228"/>
    </row>
    <row r="24" spans="2:13" x14ac:dyDescent="0.3">
      <c r="B24" s="49" t="s">
        <v>130</v>
      </c>
      <c r="C24" s="224">
        <f>0.04356+0.01475</f>
        <v>5.8310000000000001E-2</v>
      </c>
      <c r="F24" s="57"/>
      <c r="K24" s="57"/>
      <c r="M24" s="229"/>
    </row>
    <row r="25" spans="2:13" x14ac:dyDescent="0.3">
      <c r="B25" s="49" t="s">
        <v>131</v>
      </c>
      <c r="C25" s="206">
        <v>46692</v>
      </c>
      <c r="F25" s="57"/>
      <c r="K25" s="57"/>
    </row>
    <row r="26" spans="2:13" x14ac:dyDescent="0.3">
      <c r="B26" s="49" t="s">
        <v>132</v>
      </c>
      <c r="C26" s="205">
        <v>1.5E-3</v>
      </c>
      <c r="F26" s="57"/>
      <c r="K26" s="57"/>
    </row>
    <row r="27" spans="2:13" x14ac:dyDescent="0.3">
      <c r="B27" s="49" t="s">
        <v>133</v>
      </c>
      <c r="C27" s="153">
        <v>1000000</v>
      </c>
      <c r="D27" s="58"/>
      <c r="E27" s="58"/>
      <c r="F27" s="59"/>
      <c r="G27" s="58"/>
      <c r="H27" s="58"/>
      <c r="I27" s="58"/>
      <c r="J27" s="58"/>
      <c r="K27" s="59"/>
    </row>
    <row r="28" spans="2:13" x14ac:dyDescent="0.3">
      <c r="B28" s="49" t="s">
        <v>178</v>
      </c>
      <c r="C28" s="153">
        <v>190000</v>
      </c>
      <c r="D28" s="58"/>
      <c r="E28" s="58"/>
      <c r="F28" s="59"/>
      <c r="G28" s="58"/>
      <c r="H28" s="58"/>
      <c r="I28" s="58"/>
      <c r="J28" s="58"/>
      <c r="K28" s="59"/>
    </row>
    <row r="29" spans="2:13" x14ac:dyDescent="0.3">
      <c r="B29" s="49"/>
      <c r="D29" s="58"/>
      <c r="E29" s="58"/>
      <c r="F29" s="59"/>
      <c r="G29" s="58"/>
      <c r="H29" s="58"/>
      <c r="I29" s="58"/>
      <c r="J29" s="58"/>
      <c r="K29" s="59"/>
    </row>
    <row r="30" spans="2:13" x14ac:dyDescent="0.3">
      <c r="B30" s="50" t="s">
        <v>134</v>
      </c>
      <c r="C30" s="60"/>
      <c r="D30" s="154"/>
      <c r="E30" s="154"/>
      <c r="F30" s="155"/>
      <c r="G30" s="156">
        <f>C28</f>
        <v>190000</v>
      </c>
      <c r="H30" s="156">
        <f ca="1">G32</f>
        <v>0</v>
      </c>
      <c r="I30" s="156">
        <f ca="1">H32</f>
        <v>0</v>
      </c>
      <c r="J30" s="156">
        <f ca="1">I32</f>
        <v>0</v>
      </c>
      <c r="K30" s="157">
        <f ca="1">J32</f>
        <v>0</v>
      </c>
    </row>
    <row r="31" spans="2:13" x14ac:dyDescent="0.3">
      <c r="B31" s="51" t="s">
        <v>135</v>
      </c>
      <c r="C31" s="44"/>
      <c r="D31" s="158"/>
      <c r="E31" s="158"/>
      <c r="F31" s="159"/>
      <c r="G31" s="161">
        <f ca="1">MIN(-MIN(G$12,G30),$C27-G30)</f>
        <v>-190000</v>
      </c>
      <c r="H31" s="160">
        <f ca="1">MIN(-MIN(H12,H30),$C$27-H30)</f>
        <v>0</v>
      </c>
      <c r="I31" s="160">
        <f ca="1">MIN(-MIN(I12,I30),$C$27-I30)</f>
        <v>0</v>
      </c>
      <c r="J31" s="160">
        <f ca="1">MIN(-MIN(J12,J30),$C$27-J30)</f>
        <v>0</v>
      </c>
      <c r="K31" s="197">
        <f ca="1">MIN(-MIN(K12,K30),$C$27-K30)</f>
        <v>0</v>
      </c>
    </row>
    <row r="32" spans="2:13" x14ac:dyDescent="0.3">
      <c r="B32" s="52" t="s">
        <v>136</v>
      </c>
      <c r="C32" s="46"/>
      <c r="D32" s="158"/>
      <c r="E32" s="158"/>
      <c r="F32" s="159"/>
      <c r="G32" s="161">
        <f ca="1">SUM(G30:G31)</f>
        <v>0</v>
      </c>
      <c r="H32" s="161">
        <f ca="1">SUM(H30:H31)</f>
        <v>0</v>
      </c>
      <c r="I32" s="161">
        <f ca="1">SUM(I30:I31)</f>
        <v>0</v>
      </c>
      <c r="J32" s="161">
        <f ca="1">SUM(J30:J31)</f>
        <v>0</v>
      </c>
      <c r="K32" s="59">
        <f ca="1">SUM(K30:K31)</f>
        <v>0</v>
      </c>
    </row>
    <row r="33" spans="2:11" x14ac:dyDescent="0.3">
      <c r="B33" s="51" t="s">
        <v>137</v>
      </c>
      <c r="C33" s="46"/>
      <c r="D33" s="158"/>
      <c r="E33" s="158"/>
      <c r="F33" s="159"/>
      <c r="G33" s="161">
        <f ca="1">($C$27-AVERAGE(G30,G32))*$C$26</f>
        <v>1357.5</v>
      </c>
      <c r="H33" s="161">
        <f ca="1">($C$27-AVERAGE(H30,H32))*$C$26</f>
        <v>1500</v>
      </c>
      <c r="I33" s="161">
        <f ca="1">($C$27-AVERAGE(I30,I32))*$C$26</f>
        <v>1500</v>
      </c>
      <c r="J33" s="161">
        <f ca="1">($C$27-AVERAGE(J30,J32))*$C$26</f>
        <v>1500</v>
      </c>
      <c r="K33" s="67">
        <f ca="1">($C$27-AVERAGE(K30,K32))*$C$26</f>
        <v>1500</v>
      </c>
    </row>
    <row r="34" spans="2:11" x14ac:dyDescent="0.3">
      <c r="B34" s="53" t="s">
        <v>13</v>
      </c>
      <c r="C34" s="68"/>
      <c r="D34" s="162"/>
      <c r="E34" s="162"/>
      <c r="F34" s="163"/>
      <c r="G34" s="164">
        <f ca="1">AVERAGE(G30,G32)*(G19+$C$23)</f>
        <v>5505.25</v>
      </c>
      <c r="H34" s="164">
        <f ca="1">AVERAGE(H30,H32)*(H19+$C$23)</f>
        <v>0</v>
      </c>
      <c r="I34" s="164">
        <f ca="1">AVERAGE(I30,I32)*(I19+$C$23)</f>
        <v>0</v>
      </c>
      <c r="J34" s="164">
        <f ca="1">AVERAGE(J30,J32)*(J19+$C$23)</f>
        <v>0</v>
      </c>
      <c r="K34" s="165">
        <f ca="1">AVERAGE(K30,K32)*(K19+$C$23)</f>
        <v>0</v>
      </c>
    </row>
    <row r="35" spans="2:11" x14ac:dyDescent="0.3">
      <c r="F35" s="57"/>
    </row>
    <row r="36" spans="2:11" x14ac:dyDescent="0.3">
      <c r="F36" s="57"/>
    </row>
    <row r="37" spans="2:11" x14ac:dyDescent="0.3">
      <c r="F37" s="57"/>
    </row>
    <row r="38" spans="2:11" x14ac:dyDescent="0.3">
      <c r="B38" s="28" t="s">
        <v>138</v>
      </c>
      <c r="C38" s="28"/>
      <c r="F38" s="57"/>
    </row>
    <row r="39" spans="2:11" x14ac:dyDescent="0.3">
      <c r="B39" s="48" t="s">
        <v>130</v>
      </c>
      <c r="C39" s="227">
        <f>C24</f>
        <v>5.8310000000000001E-2</v>
      </c>
      <c r="D39" s="54"/>
      <c r="E39" s="55"/>
      <c r="F39" s="56"/>
      <c r="G39" s="55"/>
      <c r="H39" s="55"/>
      <c r="I39" s="55"/>
      <c r="J39" s="55"/>
      <c r="K39" s="56"/>
    </row>
    <row r="40" spans="2:11" x14ac:dyDescent="0.3">
      <c r="B40" s="49" t="s">
        <v>131</v>
      </c>
      <c r="C40" s="206">
        <v>47192</v>
      </c>
      <c r="F40" s="57"/>
      <c r="K40" s="57"/>
    </row>
    <row r="41" spans="2:11" x14ac:dyDescent="0.3">
      <c r="B41" s="49" t="s">
        <v>132</v>
      </c>
      <c r="C41" s="205">
        <f>C26</f>
        <v>1.5E-3</v>
      </c>
      <c r="F41" s="57"/>
      <c r="K41" s="57"/>
    </row>
    <row r="42" spans="2:11" x14ac:dyDescent="0.3">
      <c r="B42" s="49" t="s">
        <v>133</v>
      </c>
      <c r="C42" s="72">
        <v>15000</v>
      </c>
      <c r="F42" s="57"/>
      <c r="K42" s="57"/>
    </row>
    <row r="43" spans="2:11" x14ac:dyDescent="0.3">
      <c r="B43" s="49"/>
      <c r="D43" s="58"/>
      <c r="E43" s="58"/>
      <c r="F43" s="59"/>
      <c r="G43" s="58"/>
      <c r="H43" s="58"/>
      <c r="I43" s="58"/>
      <c r="J43" s="58"/>
      <c r="K43" s="59"/>
    </row>
    <row r="44" spans="2:11" x14ac:dyDescent="0.3">
      <c r="B44" s="50" t="s">
        <v>134</v>
      </c>
      <c r="C44" s="60"/>
      <c r="D44" s="61"/>
      <c r="E44" s="61"/>
      <c r="F44" s="142"/>
      <c r="G44" s="136">
        <v>0</v>
      </c>
      <c r="H44" s="63">
        <f ca="1">G46</f>
        <v>0</v>
      </c>
      <c r="I44" s="63">
        <f ca="1">H46</f>
        <v>0</v>
      </c>
      <c r="J44" s="63">
        <f ca="1">I46</f>
        <v>0</v>
      </c>
      <c r="K44" s="64">
        <f ca="1">J46</f>
        <v>0</v>
      </c>
    </row>
    <row r="45" spans="2:11" x14ac:dyDescent="0.3">
      <c r="B45" s="51" t="s">
        <v>135</v>
      </c>
      <c r="C45" s="46"/>
      <c r="D45" s="135"/>
      <c r="E45" s="135"/>
      <c r="F45" s="143"/>
      <c r="G45" s="161">
        <f ca="1">MIN(-MIN(G$12+G31,G44),$C42-G44)</f>
        <v>0</v>
      </c>
      <c r="H45" s="160">
        <f ca="1">MIN(-MIN(H$12,H44),$C42-H44)</f>
        <v>0</v>
      </c>
      <c r="I45" s="160">
        <f ca="1">MIN(-MIN(I$12,I44),$C42-I44)</f>
        <v>0</v>
      </c>
      <c r="J45" s="160">
        <f ca="1">MIN(-MIN(J$12,J44),$C42-J44)</f>
        <v>0</v>
      </c>
      <c r="K45" s="197">
        <f ca="1">MIN(-MIN(K$12,K44),$C42-K44)</f>
        <v>0</v>
      </c>
    </row>
    <row r="46" spans="2:11" x14ac:dyDescent="0.3">
      <c r="B46" s="52" t="s">
        <v>136</v>
      </c>
      <c r="C46" s="46"/>
      <c r="D46" s="135"/>
      <c r="E46" s="135"/>
      <c r="F46" s="143"/>
      <c r="G46" s="66">
        <f ca="1">G44-G45</f>
        <v>0</v>
      </c>
      <c r="H46" s="66">
        <f ca="1">H44-H45</f>
        <v>0</v>
      </c>
      <c r="I46" s="66">
        <f ca="1">I44-I45</f>
        <v>0</v>
      </c>
      <c r="J46" s="66">
        <f ca="1">J44-J45</f>
        <v>0</v>
      </c>
      <c r="K46" s="67">
        <f ca="1">K44-K45</f>
        <v>0</v>
      </c>
    </row>
    <row r="47" spans="2:11" x14ac:dyDescent="0.3">
      <c r="B47" s="52" t="s">
        <v>139</v>
      </c>
      <c r="C47" s="46"/>
      <c r="D47" s="135"/>
      <c r="E47" s="135"/>
      <c r="F47" s="143"/>
      <c r="G47" s="161">
        <f ca="1">($C$42-AVERAGE(G44,G46))*$C$26</f>
        <v>22.5</v>
      </c>
      <c r="H47" s="66">
        <f t="shared" ref="H47:K47" ca="1" si="1">($C$42-AVERAGE(H44,H46))*$C$26</f>
        <v>22.5</v>
      </c>
      <c r="I47" s="66">
        <f t="shared" ca="1" si="1"/>
        <v>22.5</v>
      </c>
      <c r="J47" s="66">
        <f t="shared" ca="1" si="1"/>
        <v>22.5</v>
      </c>
      <c r="K47" s="67">
        <f t="shared" ca="1" si="1"/>
        <v>22.5</v>
      </c>
    </row>
    <row r="48" spans="2:11" x14ac:dyDescent="0.3">
      <c r="B48" s="53" t="s">
        <v>13</v>
      </c>
      <c r="C48" s="68"/>
      <c r="D48" s="69"/>
      <c r="E48" s="69"/>
      <c r="F48" s="144"/>
      <c r="G48" s="70">
        <f ca="1">AVERAGE(G46, G44)*$C$39</f>
        <v>0</v>
      </c>
      <c r="H48" s="70">
        <f ca="1">AVERAGE(H46, H44)*$C$39</f>
        <v>0</v>
      </c>
      <c r="I48" s="70">
        <f ca="1">AVERAGE(I46, I44)*$C$39</f>
        <v>0</v>
      </c>
      <c r="J48" s="70">
        <f ca="1">AVERAGE(J46, J44)*$C$39</f>
        <v>0</v>
      </c>
      <c r="K48" s="71">
        <f ca="1">AVERAGE(K46, K44)*$C$39</f>
        <v>0</v>
      </c>
    </row>
    <row r="49" spans="2:11" x14ac:dyDescent="0.3">
      <c r="F49" s="57"/>
    </row>
    <row r="50" spans="2:11" x14ac:dyDescent="0.3">
      <c r="F50" s="57"/>
    </row>
    <row r="51" spans="2:11" x14ac:dyDescent="0.3">
      <c r="F51" s="57"/>
    </row>
    <row r="52" spans="2:11" x14ac:dyDescent="0.3">
      <c r="B52" s="28" t="s">
        <v>140</v>
      </c>
      <c r="C52" s="28"/>
      <c r="F52" s="57"/>
    </row>
    <row r="53" spans="2:11" x14ac:dyDescent="0.3">
      <c r="B53" s="28"/>
      <c r="C53" s="28"/>
      <c r="F53" s="57"/>
    </row>
    <row r="54" spans="2:11" x14ac:dyDescent="0.3">
      <c r="B54" s="48" t="s">
        <v>128</v>
      </c>
      <c r="C54" s="231"/>
      <c r="D54" s="54"/>
      <c r="E54" s="55"/>
      <c r="F54" s="56"/>
      <c r="G54" s="55"/>
      <c r="H54" s="55"/>
      <c r="I54" s="55"/>
      <c r="J54" s="55"/>
      <c r="K54" s="56"/>
    </row>
    <row r="55" spans="2:11" ht="13.5" x14ac:dyDescent="0.35">
      <c r="B55" s="219" t="s">
        <v>129</v>
      </c>
      <c r="C55" s="205">
        <v>2.2499999999999999E-2</v>
      </c>
      <c r="D55" s="222"/>
      <c r="F55" s="57"/>
      <c r="K55" s="57"/>
    </row>
    <row r="56" spans="2:11" x14ac:dyDescent="0.3">
      <c r="B56" s="49"/>
      <c r="C56" s="218"/>
      <c r="D56" s="222"/>
      <c r="F56" s="57"/>
      <c r="K56" s="57"/>
    </row>
    <row r="57" spans="2:11" x14ac:dyDescent="0.3">
      <c r="B57" s="49" t="s">
        <v>130</v>
      </c>
      <c r="C57" s="223">
        <f>0.04356+0.0225</f>
        <v>6.6060000000000008E-2</v>
      </c>
      <c r="D57" s="222"/>
      <c r="F57" s="57"/>
      <c r="K57" s="57"/>
    </row>
    <row r="58" spans="2:11" x14ac:dyDescent="0.3">
      <c r="B58" s="49" t="s">
        <v>131</v>
      </c>
      <c r="C58" s="206">
        <v>47166</v>
      </c>
      <c r="F58" s="57"/>
      <c r="K58" s="57"/>
    </row>
    <row r="59" spans="2:11" x14ac:dyDescent="0.3">
      <c r="B59" s="49" t="s">
        <v>133</v>
      </c>
      <c r="C59" s="72">
        <v>500000</v>
      </c>
      <c r="F59" s="57"/>
      <c r="K59" s="57"/>
    </row>
    <row r="60" spans="2:11" x14ac:dyDescent="0.3">
      <c r="B60" s="49" t="s">
        <v>141</v>
      </c>
      <c r="C60" s="214">
        <v>2.5000000000000001E-3</v>
      </c>
      <c r="D60" s="58"/>
      <c r="E60" s="58"/>
      <c r="F60" s="59"/>
      <c r="G60" s="58"/>
      <c r="H60" s="58"/>
      <c r="I60" s="58"/>
      <c r="J60" s="58"/>
      <c r="K60" s="59"/>
    </row>
    <row r="61" spans="2:11" x14ac:dyDescent="0.3">
      <c r="B61" s="49"/>
      <c r="C61" s="214"/>
      <c r="D61" s="58"/>
      <c r="E61" s="58"/>
      <c r="F61" s="59"/>
      <c r="G61" s="58"/>
      <c r="H61" s="58"/>
      <c r="I61" s="58"/>
      <c r="J61" s="58"/>
      <c r="K61" s="59"/>
    </row>
    <row r="62" spans="2:11" x14ac:dyDescent="0.3">
      <c r="B62" s="50" t="s">
        <v>134</v>
      </c>
      <c r="C62" s="60"/>
      <c r="D62" s="61"/>
      <c r="E62" s="61"/>
      <c r="F62" s="142"/>
      <c r="G62" s="62">
        <f>C59</f>
        <v>500000</v>
      </c>
      <c r="H62" s="63">
        <f>G65</f>
        <v>495000</v>
      </c>
      <c r="I62" s="63">
        <f>H65</f>
        <v>490000</v>
      </c>
      <c r="J62" s="63">
        <f>I65</f>
        <v>485000</v>
      </c>
      <c r="K62" s="64">
        <f>J65</f>
        <v>480000</v>
      </c>
    </row>
    <row r="63" spans="2:11" x14ac:dyDescent="0.3">
      <c r="B63" s="51" t="s">
        <v>142</v>
      </c>
      <c r="C63" s="46"/>
      <c r="D63" s="135"/>
      <c r="E63" s="135"/>
      <c r="F63" s="143"/>
      <c r="G63" s="65">
        <f>IF(AND(G17&gt;$C$58,F63=0),-G62,0)</f>
        <v>0</v>
      </c>
      <c r="H63" s="65">
        <f>IF(AND(H17&gt;$C$58,G63=0),-H62,0)</f>
        <v>0</v>
      </c>
      <c r="I63" s="65">
        <f>IF(AND(I17&gt;$C$58,H63=0),-I62,0)</f>
        <v>0</v>
      </c>
      <c r="J63" s="65">
        <f>IF(AND(J17&gt;$C$58,I63=0),-J62,0)</f>
        <v>0</v>
      </c>
      <c r="K63" s="67">
        <f>IF(AND(K17&gt;$C$58,J63=0),-K62,0)</f>
        <v>-480000</v>
      </c>
    </row>
    <row r="64" spans="2:11" x14ac:dyDescent="0.3">
      <c r="B64" s="51" t="s">
        <v>122</v>
      </c>
      <c r="C64" s="46"/>
      <c r="D64" s="135"/>
      <c r="E64" s="135"/>
      <c r="F64" s="143"/>
      <c r="G64" s="65">
        <f>-IF((G62+G63)&gt;0,($C$60*4)*$C$59,0)</f>
        <v>-5000</v>
      </c>
      <c r="H64" s="65">
        <f t="shared" ref="H64:K64" si="2">-IF((H62+H63)&gt;0,($C$60*4)*$C$59,0)</f>
        <v>-5000</v>
      </c>
      <c r="I64" s="65">
        <f t="shared" si="2"/>
        <v>-5000</v>
      </c>
      <c r="J64" s="65">
        <f t="shared" si="2"/>
        <v>-5000</v>
      </c>
      <c r="K64" s="67">
        <f t="shared" si="2"/>
        <v>0</v>
      </c>
    </row>
    <row r="65" spans="2:11" x14ac:dyDescent="0.3">
      <c r="B65" s="52" t="s">
        <v>136</v>
      </c>
      <c r="C65" s="46"/>
      <c r="D65" s="135"/>
      <c r="E65" s="135"/>
      <c r="F65" s="143"/>
      <c r="G65" s="66">
        <f>SUM(G62:G64)</f>
        <v>495000</v>
      </c>
      <c r="H65" s="66">
        <f t="shared" ref="H65:K65" si="3">SUM(H62:H64)</f>
        <v>490000</v>
      </c>
      <c r="I65" s="66">
        <f t="shared" si="3"/>
        <v>485000</v>
      </c>
      <c r="J65" s="66">
        <f t="shared" si="3"/>
        <v>480000</v>
      </c>
      <c r="K65" s="67">
        <f t="shared" si="3"/>
        <v>0</v>
      </c>
    </row>
    <row r="66" spans="2:11" x14ac:dyDescent="0.3">
      <c r="B66" s="50" t="s">
        <v>143</v>
      </c>
      <c r="C66" s="60"/>
      <c r="D66" s="61"/>
      <c r="E66" s="61"/>
      <c r="F66" s="142"/>
      <c r="G66" s="136">
        <v>-40661</v>
      </c>
      <c r="H66" s="62">
        <f>G66+G67</f>
        <v>-32528.799999999999</v>
      </c>
      <c r="I66" s="63">
        <f>H66+H67</f>
        <v>-24396.6</v>
      </c>
      <c r="J66" s="63">
        <f>I66+I67</f>
        <v>-16264.399999999998</v>
      </c>
      <c r="K66" s="64">
        <f>J66+J67</f>
        <v>-8132.199999999998</v>
      </c>
    </row>
    <row r="67" spans="2:11" x14ac:dyDescent="0.3">
      <c r="B67" s="51" t="s">
        <v>144</v>
      </c>
      <c r="C67" s="46"/>
      <c r="D67" s="135"/>
      <c r="E67" s="135"/>
      <c r="F67" s="143"/>
      <c r="G67" s="66">
        <f>-$G$66/5</f>
        <v>8132.2</v>
      </c>
      <c r="H67" s="66">
        <f>-$G$66/5</f>
        <v>8132.2</v>
      </c>
      <c r="I67" s="66">
        <f>-$G$66/5</f>
        <v>8132.2</v>
      </c>
      <c r="J67" s="66">
        <f>-$G$66/5</f>
        <v>8132.2</v>
      </c>
      <c r="K67" s="67">
        <f>-$G$66/5</f>
        <v>8132.2</v>
      </c>
    </row>
    <row r="68" spans="2:11" x14ac:dyDescent="0.3">
      <c r="B68" s="52" t="s">
        <v>145</v>
      </c>
      <c r="C68" s="46"/>
      <c r="D68" s="135"/>
      <c r="E68" s="135"/>
      <c r="F68" s="143"/>
      <c r="G68" s="66">
        <f>G66+G67</f>
        <v>-32528.799999999999</v>
      </c>
      <c r="H68" s="66">
        <f>H66+H67</f>
        <v>-24396.6</v>
      </c>
      <c r="I68" s="66">
        <f>I66+I67</f>
        <v>-16264.399999999998</v>
      </c>
      <c r="J68" s="66">
        <f>J66+J67</f>
        <v>-8132.199999999998</v>
      </c>
      <c r="K68" s="71">
        <f>K66+K67</f>
        <v>0</v>
      </c>
    </row>
    <row r="69" spans="2:11" x14ac:dyDescent="0.3">
      <c r="B69" s="137" t="s">
        <v>13</v>
      </c>
      <c r="C69" s="138"/>
      <c r="D69" s="139"/>
      <c r="E69" s="139"/>
      <c r="F69" s="145"/>
      <c r="G69" s="140">
        <f>AVERAGE(G65, G62)*IF(G19&gt;0.5%,G19+$C$55,2.75%)</f>
        <v>32685.750000000004</v>
      </c>
      <c r="H69" s="140">
        <f>AVERAGE(H65, H62)*IF(H19&gt;0.5%,H19+$C$55,2.75%)</f>
        <v>29008.25</v>
      </c>
      <c r="I69" s="140">
        <f>AVERAGE(I65, I62)*IF(I19&gt;0.5%,I19+$C$55,2.75%)</f>
        <v>25545</v>
      </c>
      <c r="J69" s="140">
        <f>AVERAGE(J65, J62)*IF(J19&gt;0.5%,J19+$C$55,2.75%)</f>
        <v>25669</v>
      </c>
      <c r="K69" s="141">
        <f>AVERAGE(K65, K62)*IF(K19&gt;0.5%,K19+$C$55,2.75%)</f>
        <v>13223.999999999998</v>
      </c>
    </row>
    <row r="70" spans="2:11" x14ac:dyDescent="0.3">
      <c r="F70" s="57"/>
    </row>
    <row r="71" spans="2:11" x14ac:dyDescent="0.3">
      <c r="F71" s="57"/>
    </row>
    <row r="72" spans="2:11" x14ac:dyDescent="0.3">
      <c r="F72" s="57"/>
    </row>
    <row r="73" spans="2:11" x14ac:dyDescent="0.3">
      <c r="B73" s="28" t="s">
        <v>146</v>
      </c>
      <c r="C73" s="28"/>
      <c r="F73" s="57"/>
    </row>
    <row r="74" spans="2:11" x14ac:dyDescent="0.3">
      <c r="B74" s="48" t="s">
        <v>130</v>
      </c>
      <c r="C74" s="73">
        <v>4.2500000000000003E-2</v>
      </c>
      <c r="D74" s="54"/>
      <c r="E74" s="55"/>
      <c r="F74" s="56"/>
      <c r="G74" s="55"/>
      <c r="H74" s="55"/>
      <c r="I74" s="55"/>
      <c r="J74" s="55"/>
      <c r="K74" s="56"/>
    </row>
    <row r="75" spans="2:11" x14ac:dyDescent="0.3">
      <c r="B75" s="49" t="s">
        <v>131</v>
      </c>
      <c r="C75" s="206">
        <v>47192</v>
      </c>
      <c r="F75" s="57"/>
      <c r="K75" s="57"/>
    </row>
    <row r="76" spans="2:11" x14ac:dyDescent="0.3">
      <c r="B76" s="49" t="s">
        <v>133</v>
      </c>
      <c r="C76" s="72">
        <v>350000</v>
      </c>
      <c r="F76" s="57"/>
      <c r="K76" s="57"/>
    </row>
    <row r="77" spans="2:11" x14ac:dyDescent="0.3">
      <c r="B77" s="49"/>
      <c r="D77" s="58"/>
      <c r="E77" s="58"/>
      <c r="F77" s="59"/>
      <c r="G77" s="58"/>
      <c r="H77" s="58"/>
      <c r="I77" s="58"/>
      <c r="J77" s="58"/>
      <c r="K77" s="59"/>
    </row>
    <row r="78" spans="2:11" x14ac:dyDescent="0.3">
      <c r="B78" s="50" t="s">
        <v>134</v>
      </c>
      <c r="C78" s="60"/>
      <c r="D78" s="61"/>
      <c r="E78" s="61"/>
      <c r="F78" s="142"/>
      <c r="G78" s="62">
        <f>C76</f>
        <v>350000</v>
      </c>
      <c r="H78" s="63">
        <f>G80</f>
        <v>350000</v>
      </c>
      <c r="I78" s="63">
        <f>H80</f>
        <v>350000</v>
      </c>
      <c r="J78" s="63">
        <f>I80</f>
        <v>350000</v>
      </c>
      <c r="K78" s="64">
        <f>J80</f>
        <v>350000</v>
      </c>
    </row>
    <row r="79" spans="2:11" x14ac:dyDescent="0.3">
      <c r="B79" s="51" t="s">
        <v>147</v>
      </c>
      <c r="C79" s="46"/>
      <c r="D79" s="135"/>
      <c r="E79" s="135"/>
      <c r="F79" s="143"/>
      <c r="G79" s="65">
        <f>IF(AND(G17&gt;$C$75,F79=0),-G78,0)</f>
        <v>0</v>
      </c>
      <c r="H79" s="65">
        <f>IF(AND(H17&gt;$C$75,G79=0),-H78,0)</f>
        <v>0</v>
      </c>
      <c r="I79" s="58">
        <f>IF(AND(I17&gt;$C$75,H79=0),-I78,0)</f>
        <v>0</v>
      </c>
      <c r="J79" s="58">
        <f>IF(AND(J17&gt;$C$75,I79=0),-J78,0)</f>
        <v>0</v>
      </c>
      <c r="K79" s="67">
        <f>IF(AND(K17&gt;$C$75,J79=0),-K78,0)</f>
        <v>-350000</v>
      </c>
    </row>
    <row r="80" spans="2:11" x14ac:dyDescent="0.3">
      <c r="B80" s="52" t="s">
        <v>136</v>
      </c>
      <c r="C80" s="46"/>
      <c r="D80" s="135"/>
      <c r="E80" s="135"/>
      <c r="F80" s="143"/>
      <c r="G80" s="66">
        <f>G78+G79</f>
        <v>350000</v>
      </c>
      <c r="H80" s="66">
        <f>H78+H79</f>
        <v>350000</v>
      </c>
      <c r="I80" s="66">
        <f>I78+I79</f>
        <v>350000</v>
      </c>
      <c r="J80" s="66">
        <f>J78+J79</f>
        <v>350000</v>
      </c>
      <c r="K80" s="67">
        <f>K78+K79</f>
        <v>0</v>
      </c>
    </row>
    <row r="81" spans="2:11" x14ac:dyDescent="0.3">
      <c r="B81" s="53" t="s">
        <v>13</v>
      </c>
      <c r="C81" s="68"/>
      <c r="D81" s="69"/>
      <c r="E81" s="69"/>
      <c r="F81" s="144"/>
      <c r="G81" s="70">
        <f>AVERAGE(G80, G78)*$C$74</f>
        <v>14875.000000000002</v>
      </c>
      <c r="H81" s="70">
        <f>AVERAGE(H80, H78)*$C$74</f>
        <v>14875.000000000002</v>
      </c>
      <c r="I81" s="70">
        <f>AVERAGE(I80, I78)*$C$74</f>
        <v>14875.000000000002</v>
      </c>
      <c r="J81" s="70">
        <f>AVERAGE(J80, J78)*$C$74</f>
        <v>14875.000000000002</v>
      </c>
      <c r="K81" s="71">
        <f>AVERAGE(K80, K78)*$C$74</f>
        <v>7437.5000000000009</v>
      </c>
    </row>
    <row r="82" spans="2:11" x14ac:dyDescent="0.3">
      <c r="F82" s="57"/>
    </row>
    <row r="83" spans="2:11" x14ac:dyDescent="0.3">
      <c r="F83" s="57"/>
    </row>
    <row r="84" spans="2:11" x14ac:dyDescent="0.3">
      <c r="F84" s="57"/>
    </row>
    <row r="85" spans="2:11" x14ac:dyDescent="0.3">
      <c r="B85" s="28" t="s">
        <v>148</v>
      </c>
      <c r="C85" s="28"/>
      <c r="F85" s="57"/>
    </row>
    <row r="86" spans="2:11" x14ac:dyDescent="0.3">
      <c r="B86" s="48" t="s">
        <v>130</v>
      </c>
      <c r="C86" s="74">
        <v>4.1250000000000002E-2</v>
      </c>
      <c r="D86" s="54"/>
      <c r="E86" s="55"/>
      <c r="F86" s="56"/>
      <c r="G86" s="55"/>
      <c r="H86" s="55"/>
      <c r="I86" s="55"/>
      <c r="J86" s="55"/>
      <c r="K86" s="56"/>
    </row>
    <row r="87" spans="2:11" x14ac:dyDescent="0.3">
      <c r="B87" s="49" t="s">
        <v>131</v>
      </c>
      <c r="C87" s="206">
        <v>47922</v>
      </c>
      <c r="F87" s="57"/>
      <c r="K87" s="57"/>
    </row>
    <row r="88" spans="2:11" x14ac:dyDescent="0.3">
      <c r="B88" s="49" t="s">
        <v>133</v>
      </c>
      <c r="C88" s="72">
        <v>350000</v>
      </c>
      <c r="F88" s="57"/>
      <c r="K88" s="57"/>
    </row>
    <row r="89" spans="2:11" x14ac:dyDescent="0.3">
      <c r="B89" s="49"/>
      <c r="D89" s="58"/>
      <c r="E89" s="58"/>
      <c r="F89" s="59"/>
      <c r="G89" s="58"/>
      <c r="H89" s="58"/>
      <c r="I89" s="58"/>
      <c r="J89" s="58"/>
      <c r="K89" s="59"/>
    </row>
    <row r="90" spans="2:11" x14ac:dyDescent="0.3">
      <c r="B90" s="50" t="s">
        <v>134</v>
      </c>
      <c r="C90" s="60"/>
      <c r="D90" s="61"/>
      <c r="E90" s="61"/>
      <c r="F90" s="142"/>
      <c r="G90" s="62">
        <f>C88</f>
        <v>350000</v>
      </c>
      <c r="H90" s="63">
        <f>G92</f>
        <v>350000</v>
      </c>
      <c r="I90" s="63">
        <f>H92</f>
        <v>350000</v>
      </c>
      <c r="J90" s="63">
        <f>I92</f>
        <v>350000</v>
      </c>
      <c r="K90" s="64">
        <f>J92</f>
        <v>350000</v>
      </c>
    </row>
    <row r="91" spans="2:11" x14ac:dyDescent="0.3">
      <c r="B91" s="51" t="s">
        <v>147</v>
      </c>
      <c r="C91" s="46"/>
      <c r="D91" s="135"/>
      <c r="E91" s="135"/>
      <c r="F91" s="143"/>
      <c r="G91" s="65">
        <f>IF(AND(G17&gt;$C$87,F91=0),-G90,0)</f>
        <v>0</v>
      </c>
      <c r="H91" s="65">
        <f>IF(AND(H17&gt;$C$87,G91=0),-H90,0)</f>
        <v>0</v>
      </c>
      <c r="I91" s="58">
        <f>IF(AND(I17&gt;$C$87,H91=0),-I90,0)</f>
        <v>0</v>
      </c>
      <c r="J91" s="58">
        <f>IF(AND(J17&gt;$C$87,I91=0),-J90,0)</f>
        <v>0</v>
      </c>
      <c r="K91" s="59">
        <f>IF(AND(K17&gt;$C$87,J91=0),-K90,0)</f>
        <v>0</v>
      </c>
    </row>
    <row r="92" spans="2:11" x14ac:dyDescent="0.3">
      <c r="B92" s="52" t="s">
        <v>136</v>
      </c>
      <c r="C92" s="46"/>
      <c r="D92" s="135"/>
      <c r="E92" s="135"/>
      <c r="F92" s="143"/>
      <c r="G92" s="66">
        <f>G90+G91</f>
        <v>350000</v>
      </c>
      <c r="H92" s="66">
        <f>H90+H91</f>
        <v>350000</v>
      </c>
      <c r="I92" s="66">
        <f>I90+I91</f>
        <v>350000</v>
      </c>
      <c r="J92" s="66">
        <f>J90+J91</f>
        <v>350000</v>
      </c>
      <c r="K92" s="67">
        <f>K90+K91</f>
        <v>350000</v>
      </c>
    </row>
    <row r="93" spans="2:11" x14ac:dyDescent="0.3">
      <c r="B93" s="53" t="s">
        <v>13</v>
      </c>
      <c r="C93" s="68"/>
      <c r="D93" s="69"/>
      <c r="E93" s="69"/>
      <c r="F93" s="144"/>
      <c r="G93" s="70">
        <f>AVERAGE(G92, G90)*$C$86</f>
        <v>14437.5</v>
      </c>
      <c r="H93" s="70">
        <f>AVERAGE(H92, H90)*$C$86</f>
        <v>14437.5</v>
      </c>
      <c r="I93" s="70">
        <f>AVERAGE(I92, I90)*$C$86</f>
        <v>14437.5</v>
      </c>
      <c r="J93" s="70">
        <f>AVERAGE(J92, J90)*$C$86</f>
        <v>14437.5</v>
      </c>
      <c r="K93" s="71">
        <f>AVERAGE(K92, K90)*$C$86</f>
        <v>14437.5</v>
      </c>
    </row>
    <row r="94" spans="2:11" x14ac:dyDescent="0.3">
      <c r="F94" s="57"/>
    </row>
    <row r="95" spans="2:11" x14ac:dyDescent="0.3">
      <c r="F95" s="57"/>
    </row>
    <row r="96" spans="2:11" x14ac:dyDescent="0.3">
      <c r="B96" s="28" t="s">
        <v>149</v>
      </c>
      <c r="F96" s="57"/>
    </row>
    <row r="97" spans="2:18" x14ac:dyDescent="0.3">
      <c r="B97" s="15" t="s">
        <v>150</v>
      </c>
      <c r="C97" s="135"/>
      <c r="D97" s="135"/>
      <c r="E97" s="135"/>
      <c r="F97" s="143"/>
      <c r="G97" s="65">
        <f>G67</f>
        <v>8132.2</v>
      </c>
      <c r="H97" s="65">
        <f>H67</f>
        <v>8132.2</v>
      </c>
      <c r="I97" s="65">
        <f>I67</f>
        <v>8132.2</v>
      </c>
      <c r="J97" s="65">
        <f>J67</f>
        <v>8132.2</v>
      </c>
      <c r="K97" s="65">
        <f>K67</f>
        <v>8132.2</v>
      </c>
    </row>
    <row r="98" spans="2:18" x14ac:dyDescent="0.3">
      <c r="B98" s="169" t="s">
        <v>151</v>
      </c>
      <c r="C98" s="69"/>
      <c r="D98" s="69"/>
      <c r="E98" s="69"/>
      <c r="F98" s="144"/>
      <c r="G98" s="170">
        <f ca="1">(G31+G63+G45+G64+G79+G91)</f>
        <v>-195000</v>
      </c>
      <c r="H98" s="170">
        <f ca="1">(H31+H63+H45+H64+H79+H91)</f>
        <v>-5000</v>
      </c>
      <c r="I98" s="170">
        <f ca="1">(I31+I63+I45+I64+I79+I91)</f>
        <v>-5000</v>
      </c>
      <c r="J98" s="170">
        <f ca="1">(J31+J63+J45+J64+J79+J91)</f>
        <v>-5000</v>
      </c>
      <c r="K98" s="170">
        <f ca="1">(K31+K63+K45+K64+K79+K91)</f>
        <v>-830000</v>
      </c>
    </row>
    <row r="99" spans="2:18" x14ac:dyDescent="0.3">
      <c r="B99" s="15" t="s">
        <v>152</v>
      </c>
      <c r="F99" s="57"/>
      <c r="G99" s="65">
        <f ca="1">SUM(G97:G98)</f>
        <v>-186867.8</v>
      </c>
      <c r="H99" s="65">
        <f t="shared" ref="H99:K99" ca="1" si="4">SUM(H97:H98)</f>
        <v>3132.2</v>
      </c>
      <c r="I99" s="65">
        <f t="shared" ca="1" si="4"/>
        <v>3132.2</v>
      </c>
      <c r="J99" s="65">
        <f t="shared" ca="1" si="4"/>
        <v>3132.2</v>
      </c>
      <c r="K99" s="65">
        <f t="shared" ca="1" si="4"/>
        <v>-821867.8</v>
      </c>
      <c r="N99" s="65"/>
      <c r="O99" s="65"/>
      <c r="P99" s="65"/>
      <c r="Q99" s="65"/>
      <c r="R99" s="65"/>
    </row>
    <row r="100" spans="2:18" x14ac:dyDescent="0.3">
      <c r="F100" s="57"/>
      <c r="G100" s="65"/>
      <c r="H100" s="65"/>
      <c r="I100" s="65"/>
      <c r="J100" s="65"/>
      <c r="K100" s="65"/>
      <c r="N100" s="65"/>
      <c r="O100" s="65"/>
      <c r="P100" s="65"/>
      <c r="Q100" s="65"/>
      <c r="R100" s="65"/>
    </row>
    <row r="101" spans="2:18" x14ac:dyDescent="0.3">
      <c r="B101" s="15" t="s">
        <v>153</v>
      </c>
      <c r="F101" s="57"/>
      <c r="G101" s="65">
        <f ca="1">SUM(G34,G33,G47,G69,G81,G93,G67)</f>
        <v>77015.7</v>
      </c>
      <c r="H101" s="65">
        <f ca="1">SUM(H34,H33,H47,H69,H81,H93,H67)</f>
        <v>67975.45</v>
      </c>
      <c r="I101" s="65">
        <f ca="1">SUM(I34,I33,I47,I69,I81,I93,I67)</f>
        <v>64512.2</v>
      </c>
      <c r="J101" s="65">
        <f ca="1">SUM(J34,J33,J47,J69,J81,J93,J67)</f>
        <v>64636.2</v>
      </c>
      <c r="K101" s="65">
        <f ca="1">SUM(K34,K33,K47,K69,K81,K93,K67)</f>
        <v>44753.7</v>
      </c>
      <c r="N101" s="65"/>
      <c r="O101" s="65"/>
      <c r="P101" s="65"/>
      <c r="Q101" s="65"/>
      <c r="R101" s="65"/>
    </row>
    <row r="102" spans="2:18" x14ac:dyDescent="0.3">
      <c r="F102" s="57"/>
    </row>
    <row r="103" spans="2:18" x14ac:dyDescent="0.3">
      <c r="B103" s="46"/>
      <c r="C103" s="46"/>
      <c r="D103" s="311" t="s">
        <v>4</v>
      </c>
      <c r="E103" s="311"/>
      <c r="F103" s="312"/>
      <c r="G103" s="313" t="s">
        <v>5</v>
      </c>
      <c r="H103" s="313"/>
      <c r="I103" s="313"/>
      <c r="J103" s="313"/>
      <c r="K103" s="313"/>
      <c r="N103" s="65"/>
      <c r="O103" s="65"/>
      <c r="P103" s="65"/>
      <c r="Q103" s="65"/>
      <c r="R103" s="65"/>
    </row>
    <row r="104" spans="2:18" x14ac:dyDescent="0.3">
      <c r="B104" s="47" t="s">
        <v>154</v>
      </c>
      <c r="C104" s="47"/>
      <c r="D104" s="14">
        <v>2022</v>
      </c>
      <c r="E104" s="14">
        <v>2023</v>
      </c>
      <c r="F104" s="80">
        <v>2024</v>
      </c>
      <c r="G104" s="14">
        <v>2025</v>
      </c>
      <c r="H104" s="14">
        <v>2026</v>
      </c>
      <c r="I104" s="14">
        <v>2027</v>
      </c>
      <c r="J104" s="14">
        <v>2028</v>
      </c>
      <c r="K104" s="14">
        <v>2029</v>
      </c>
      <c r="M104" s="17" t="s">
        <v>22</v>
      </c>
    </row>
    <row r="105" spans="2:18" x14ac:dyDescent="0.3">
      <c r="B105" s="50" t="s">
        <v>155</v>
      </c>
      <c r="C105" s="55"/>
      <c r="D105" s="185"/>
      <c r="E105" s="185"/>
      <c r="F105" s="190"/>
      <c r="G105" s="126">
        <f ca="1">IF(G12+G98&gt;0,G12+G98,0)</f>
        <v>508712.53714396816</v>
      </c>
      <c r="H105" s="126">
        <f ca="1">IF(H12+H98&gt;0,H12+H98,0)</f>
        <v>1129416.4617089655</v>
      </c>
      <c r="I105" s="126">
        <f ca="1">IF(I12+I98&gt;0,I12+I98,0)</f>
        <v>1651914.6695786212</v>
      </c>
      <c r="J105" s="126">
        <f ca="1">IF(J12+J98&gt;0,J12+J98,0)</f>
        <v>2111010.4422512874</v>
      </c>
      <c r="K105" s="64">
        <f ca="1">IF(K12+K98&gt;0,K12+K98,0)</f>
        <v>1725704.0311906505</v>
      </c>
      <c r="M105" s="208"/>
    </row>
    <row r="106" spans="2:18" x14ac:dyDescent="0.3">
      <c r="B106" s="51" t="s">
        <v>156</v>
      </c>
      <c r="D106" s="187"/>
      <c r="E106" s="187"/>
      <c r="F106" s="191"/>
      <c r="G106" s="195">
        <v>0.21366117870000001</v>
      </c>
      <c r="H106" s="193">
        <f>G106+$M$106</f>
        <v>0.2036611787</v>
      </c>
      <c r="I106" s="193">
        <f>H106+$M$106</f>
        <v>0.19366117869999999</v>
      </c>
      <c r="J106" s="193">
        <f>I106+$M$106</f>
        <v>0.18366117869999998</v>
      </c>
      <c r="K106" s="194">
        <f>J106+$M$106</f>
        <v>0.17366117869999997</v>
      </c>
      <c r="L106" s="193"/>
      <c r="M106" s="22">
        <v>-0.01</v>
      </c>
    </row>
    <row r="107" spans="2:18" x14ac:dyDescent="0.3">
      <c r="B107" s="49" t="s">
        <v>157</v>
      </c>
      <c r="D107" s="187"/>
      <c r="E107" s="187"/>
      <c r="F107" s="191"/>
      <c r="G107" s="200">
        <f ca="1">-G105*G106</f>
        <v>-108692.12030564777</v>
      </c>
      <c r="H107" s="31">
        <f ca="1">-H105*H106</f>
        <v>-230018.28783483134</v>
      </c>
      <c r="I107" s="31">
        <f ca="1">-I105*I106</f>
        <v>-319911.74202241679</v>
      </c>
      <c r="J107" s="31">
        <f ca="1">-J105*J106</f>
        <v>-387710.66607187968</v>
      </c>
      <c r="K107" s="121">
        <f ca="1">-K105*K106</f>
        <v>-299687.79614390992</v>
      </c>
      <c r="M107" s="210"/>
    </row>
    <row r="108" spans="2:18" x14ac:dyDescent="0.3">
      <c r="B108" s="188" t="s">
        <v>158</v>
      </c>
      <c r="C108" s="169"/>
      <c r="D108" s="186"/>
      <c r="E108" s="186"/>
      <c r="F108" s="192"/>
      <c r="G108" s="123">
        <f ca="1">G105+G107</f>
        <v>400020.41683832038</v>
      </c>
      <c r="H108" s="123">
        <f ca="1">H105+H107</f>
        <v>899398.1738741342</v>
      </c>
      <c r="I108" s="123">
        <f ca="1">I105+I107</f>
        <v>1332002.9275562044</v>
      </c>
      <c r="J108" s="123">
        <f ca="1">J105+J107</f>
        <v>1723299.7761794077</v>
      </c>
      <c r="K108" s="124">
        <f ca="1">K105+K107</f>
        <v>1426016.2350467406</v>
      </c>
      <c r="M108" s="209"/>
    </row>
    <row r="110" spans="2:18" x14ac:dyDescent="0.3">
      <c r="K110" s="31"/>
    </row>
    <row r="111" spans="2:18" x14ac:dyDescent="0.3">
      <c r="G111" s="199"/>
      <c r="H111" s="31"/>
    </row>
    <row r="112" spans="2:18" x14ac:dyDescent="0.3">
      <c r="H112" s="199"/>
    </row>
    <row r="113" spans="8:8" x14ac:dyDescent="0.3">
      <c r="H113" s="31"/>
    </row>
    <row r="116" spans="8:8" x14ac:dyDescent="0.3">
      <c r="H116" s="31"/>
    </row>
  </sheetData>
  <mergeCells count="4">
    <mergeCell ref="D16:F16"/>
    <mergeCell ref="G16:K16"/>
    <mergeCell ref="D103:F103"/>
    <mergeCell ref="G103:K103"/>
  </mergeCells>
  <pageMargins left="0.7" right="0.7" top="0.75" bottom="0.75" header="0.3" footer="0.3"/>
  <legacy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0CC45-DCF1-4B3F-848B-1386C04CAD6F}">
  <dimension ref="B1:L26"/>
  <sheetViews>
    <sheetView showGridLines="0" workbookViewId="0">
      <selection activeCell="F24" sqref="F24"/>
    </sheetView>
  </sheetViews>
  <sheetFormatPr defaultColWidth="9" defaultRowHeight="13" x14ac:dyDescent="0.3"/>
  <cols>
    <col min="1" max="1" width="9" style="15"/>
    <col min="2" max="2" width="48.54296875" style="15" bestFit="1" customWidth="1"/>
    <col min="3" max="3" width="11.26953125" style="15" bestFit="1" customWidth="1"/>
    <col min="4" max="4" width="12.81640625" style="15" bestFit="1" customWidth="1"/>
    <col min="5" max="5" width="11.26953125" style="15" bestFit="1" customWidth="1"/>
    <col min="6" max="6" width="11.453125" style="15" bestFit="1" customWidth="1"/>
    <col min="7" max="10" width="11.26953125" style="15" bestFit="1" customWidth="1"/>
    <col min="11" max="11" width="9" style="15"/>
    <col min="12" max="12" width="9.1796875" style="15" bestFit="1" customWidth="1"/>
    <col min="13" max="16384" width="9" style="15"/>
  </cols>
  <sheetData>
    <row r="1" spans="2:10" s="109" customFormat="1" ht="15.5" x14ac:dyDescent="0.35">
      <c r="B1" s="108" t="str">
        <f>Intro!B1</f>
        <v>Crocs Inc (CROX)</v>
      </c>
    </row>
    <row r="2" spans="2:10" s="109" customFormat="1" ht="14.5" x14ac:dyDescent="0.35">
      <c r="B2" s="110" t="s">
        <v>159</v>
      </c>
    </row>
    <row r="3" spans="2:10" s="109" customFormat="1" ht="14.5" x14ac:dyDescent="0.35">
      <c r="B3" s="111" t="s">
        <v>3</v>
      </c>
    </row>
    <row r="5" spans="2:10" x14ac:dyDescent="0.3">
      <c r="C5" s="12" t="s">
        <v>4</v>
      </c>
      <c r="D5" s="12"/>
      <c r="E5" s="79"/>
      <c r="F5" s="13" t="s">
        <v>5</v>
      </c>
      <c r="G5" s="13"/>
      <c r="H5" s="13"/>
      <c r="I5" s="13"/>
      <c r="J5" s="13"/>
    </row>
    <row r="6" spans="2:10" ht="13.5" thickBot="1" x14ac:dyDescent="0.35">
      <c r="C6" s="14">
        <v>2022</v>
      </c>
      <c r="D6" s="14">
        <v>2023</v>
      </c>
      <c r="E6" s="80">
        <v>2024</v>
      </c>
      <c r="F6" s="14">
        <v>2025</v>
      </c>
      <c r="G6" s="14">
        <v>2026</v>
      </c>
      <c r="H6" s="14">
        <v>2027</v>
      </c>
      <c r="I6" s="14">
        <v>2028</v>
      </c>
      <c r="J6" s="14">
        <v>2029</v>
      </c>
    </row>
    <row r="7" spans="2:10" x14ac:dyDescent="0.3">
      <c r="B7" s="171" t="s">
        <v>160</v>
      </c>
      <c r="C7" s="81">
        <v>108398</v>
      </c>
      <c r="D7" s="81">
        <v>181529</v>
      </c>
      <c r="E7" s="97">
        <v>238315</v>
      </c>
      <c r="F7" s="82">
        <f>E11</f>
        <v>244335</v>
      </c>
      <c r="G7" s="82">
        <f t="shared" ref="G7:J7" si="0">F11</f>
        <v>326817.11202348792</v>
      </c>
      <c r="H7" s="82">
        <f t="shared" si="0"/>
        <v>420802.51195309754</v>
      </c>
      <c r="I7" s="82">
        <f t="shared" si="0"/>
        <v>520775.91631544626</v>
      </c>
      <c r="J7" s="83">
        <f t="shared" si="0"/>
        <v>618462.00280213461</v>
      </c>
    </row>
    <row r="8" spans="2:10" x14ac:dyDescent="0.3">
      <c r="B8" s="172" t="s">
        <v>161</v>
      </c>
      <c r="C8" s="93">
        <v>-19642</v>
      </c>
      <c r="D8" s="93">
        <v>-31685</v>
      </c>
      <c r="E8" s="98">
        <v>-46906</v>
      </c>
      <c r="F8" s="66">
        <f>F20*-F7</f>
        <v>-45004.165545677926</v>
      </c>
      <c r="G8" s="66">
        <f>G20*-G7</f>
        <v>-60196.580157019744</v>
      </c>
      <c r="H8" s="66">
        <f>H20*-H7</f>
        <v>-77507.790165037004</v>
      </c>
      <c r="I8" s="66">
        <f>I20*-I7</f>
        <v>-95921.933206713962</v>
      </c>
      <c r="J8" s="84">
        <f>J20*-J7</f>
        <v>-113914.77421498677</v>
      </c>
    </row>
    <row r="9" spans="2:10" x14ac:dyDescent="0.3">
      <c r="B9" s="172" t="s">
        <v>162</v>
      </c>
      <c r="C9" s="99">
        <v>104190</v>
      </c>
      <c r="D9" s="99">
        <v>115625</v>
      </c>
      <c r="E9" s="100">
        <v>69347</v>
      </c>
      <c r="F9" s="66">
        <f>F21*F7</f>
        <v>153859.33627475056</v>
      </c>
      <c r="G9" s="66">
        <f>G21*G7</f>
        <v>189458.00227495734</v>
      </c>
      <c r="H9" s="66">
        <f>H21*H7</f>
        <v>222901.82338201796</v>
      </c>
      <c r="I9" s="66">
        <f>I21*I7</f>
        <v>249819.58911015373</v>
      </c>
      <c r="J9" s="84">
        <f>J21*J7</f>
        <v>265757.13905644882</v>
      </c>
    </row>
    <row r="10" spans="2:10" ht="13.5" thickBot="1" x14ac:dyDescent="0.35">
      <c r="B10" s="173" t="s">
        <v>163</v>
      </c>
      <c r="C10" s="85">
        <f>C11-SUM(C7:C9)</f>
        <v>-11417</v>
      </c>
      <c r="D10" s="85">
        <f>D11-SUM(D7:D9)</f>
        <v>-27154</v>
      </c>
      <c r="E10" s="101">
        <f>E11-SUM(E7:E9)</f>
        <v>-16421</v>
      </c>
      <c r="F10" s="85">
        <f>F7*F22</f>
        <v>-26373.058705584757</v>
      </c>
      <c r="G10" s="85">
        <f>G7*G22</f>
        <v>-35276.022188327981</v>
      </c>
      <c r="H10" s="85">
        <f>H7*H22</f>
        <v>-45420.628854632254</v>
      </c>
      <c r="I10" s="85">
        <f>I7*I22</f>
        <v>-56211.569416751423</v>
      </c>
      <c r="J10" s="134">
        <f>J7*J22</f>
        <v>-66755.621204797586</v>
      </c>
    </row>
    <row r="11" spans="2:10" ht="13.5" thickBot="1" x14ac:dyDescent="0.35">
      <c r="B11" s="174" t="s">
        <v>164</v>
      </c>
      <c r="C11" s="116">
        <f>'Balance Sheet'!C16</f>
        <v>181529</v>
      </c>
      <c r="D11" s="116">
        <f>'Balance Sheet'!D16</f>
        <v>238315</v>
      </c>
      <c r="E11" s="117">
        <f>'Balance Sheet'!E16</f>
        <v>244335</v>
      </c>
      <c r="F11" s="86">
        <f>SUM(F7:F10)</f>
        <v>326817.11202348792</v>
      </c>
      <c r="G11" s="86">
        <f t="shared" ref="G11:J11" si="1">SUM(G7:G10)</f>
        <v>420802.51195309754</v>
      </c>
      <c r="H11" s="86">
        <f t="shared" si="1"/>
        <v>520775.91631544626</v>
      </c>
      <c r="I11" s="86">
        <f t="shared" si="1"/>
        <v>618462.00280213461</v>
      </c>
      <c r="J11" s="88">
        <f t="shared" si="1"/>
        <v>703548.74643879896</v>
      </c>
    </row>
    <row r="12" spans="2:10" ht="13.5" thickBot="1" x14ac:dyDescent="0.35">
      <c r="B12" s="44"/>
      <c r="E12" s="102"/>
    </row>
    <row r="13" spans="2:10" x14ac:dyDescent="0.3">
      <c r="B13" s="171" t="s">
        <v>165</v>
      </c>
      <c r="C13" s="201">
        <v>28802</v>
      </c>
      <c r="D13" s="95">
        <f>C16</f>
        <v>1800167</v>
      </c>
      <c r="E13" s="103">
        <f t="shared" ref="E13:J13" si="2">D16</f>
        <v>1792562</v>
      </c>
      <c r="F13" s="82">
        <f t="shared" si="2"/>
        <v>1777080</v>
      </c>
      <c r="G13" s="82">
        <f t="shared" si="2"/>
        <v>1765652.1242340668</v>
      </c>
      <c r="H13" s="82">
        <f t="shared" si="2"/>
        <v>1754297.7377564725</v>
      </c>
      <c r="I13" s="82">
        <f t="shared" si="2"/>
        <v>1743016.3679793444</v>
      </c>
      <c r="J13" s="83">
        <f t="shared" si="2"/>
        <v>1731807.5453538822</v>
      </c>
    </row>
    <row r="14" spans="2:10" x14ac:dyDescent="0.3">
      <c r="B14" s="172" t="s">
        <v>166</v>
      </c>
      <c r="C14" s="93">
        <v>-19587</v>
      </c>
      <c r="D14" s="93">
        <v>-22619</v>
      </c>
      <c r="E14" s="98">
        <v>-22934</v>
      </c>
      <c r="F14" s="66">
        <f>F13*F23</f>
        <v>-22532.418364281366</v>
      </c>
      <c r="G14" s="66">
        <f>G13*G23</f>
        <v>-22387.519047552218</v>
      </c>
      <c r="H14" s="66">
        <f>H13*H23</f>
        <v>-22243.551535463343</v>
      </c>
      <c r="I14" s="66">
        <f>I13*I23</f>
        <v>-22100.509835854766</v>
      </c>
      <c r="J14" s="84">
        <f>J13*J23</f>
        <v>-21958.387995100307</v>
      </c>
    </row>
    <row r="15" spans="2:10" ht="13.5" thickBot="1" x14ac:dyDescent="0.35">
      <c r="B15" s="172" t="s">
        <v>167</v>
      </c>
      <c r="C15" s="132">
        <f>C16-SUM(C13:C14)</f>
        <v>1790952</v>
      </c>
      <c r="D15" s="132">
        <f>D16-SUM(D13:D14)</f>
        <v>15014</v>
      </c>
      <c r="E15" s="133">
        <f>E16-SUM(E13:E14)</f>
        <v>7452</v>
      </c>
      <c r="F15" s="132">
        <f>F13*F24</f>
        <v>11104.542598348122</v>
      </c>
      <c r="G15" s="132">
        <f>G13*G24</f>
        <v>11033.132569958047</v>
      </c>
      <c r="H15" s="132">
        <f>H13*H24</f>
        <v>10962.181758335299</v>
      </c>
      <c r="I15" s="132">
        <f>I13*I24</f>
        <v>10891.687210392698</v>
      </c>
      <c r="J15" s="134">
        <f>J13*J24</f>
        <v>10821.645992033495</v>
      </c>
    </row>
    <row r="16" spans="2:10" ht="13.5" thickBot="1" x14ac:dyDescent="0.35">
      <c r="B16" s="174" t="s">
        <v>168</v>
      </c>
      <c r="C16" s="118">
        <v>1800167</v>
      </c>
      <c r="D16" s="118">
        <v>1792562</v>
      </c>
      <c r="E16" s="119">
        <v>1777080</v>
      </c>
      <c r="F16" s="87">
        <f>SUM(F13:F15)</f>
        <v>1765652.1242340668</v>
      </c>
      <c r="G16" s="87">
        <f>SUM(G13:G15)</f>
        <v>1754297.7377564725</v>
      </c>
      <c r="H16" s="87">
        <f>SUM(H13:H15)</f>
        <v>1743016.3679793444</v>
      </c>
      <c r="I16" s="87">
        <f>SUM(I13:I15)</f>
        <v>1731807.5453538822</v>
      </c>
      <c r="J16" s="88">
        <f>SUM(J13:J15)</f>
        <v>1720670.8033508153</v>
      </c>
    </row>
    <row r="17" spans="2:12" x14ac:dyDescent="0.3">
      <c r="E17" s="57"/>
    </row>
    <row r="18" spans="2:12" x14ac:dyDescent="0.3">
      <c r="B18" s="89"/>
      <c r="C18" s="311" t="s">
        <v>4</v>
      </c>
      <c r="D18" s="311"/>
      <c r="E18" s="312"/>
      <c r="F18" s="90" t="s">
        <v>5</v>
      </c>
      <c r="G18" s="90"/>
      <c r="H18" s="90"/>
      <c r="I18" s="90"/>
      <c r="J18" s="90"/>
    </row>
    <row r="19" spans="2:12" ht="13.5" thickBot="1" x14ac:dyDescent="0.35">
      <c r="B19" s="16" t="s">
        <v>169</v>
      </c>
      <c r="C19" s="14">
        <v>2022</v>
      </c>
      <c r="D19" s="14">
        <v>2023</v>
      </c>
      <c r="E19" s="80">
        <v>2024</v>
      </c>
      <c r="F19" s="14">
        <v>2025</v>
      </c>
      <c r="G19" s="14">
        <v>2026</v>
      </c>
      <c r="H19" s="14">
        <v>2027</v>
      </c>
      <c r="I19" s="14">
        <v>2028</v>
      </c>
      <c r="J19" s="14">
        <v>2029</v>
      </c>
      <c r="L19" s="17" t="s">
        <v>22</v>
      </c>
    </row>
    <row r="20" spans="2:12" x14ac:dyDescent="0.3">
      <c r="B20" s="171" t="s">
        <v>170</v>
      </c>
      <c r="C20" s="104">
        <f>-C8/C7</f>
        <v>0.18120260521411835</v>
      </c>
      <c r="D20" s="104">
        <f>-D8/D7</f>
        <v>0.17454511400382308</v>
      </c>
      <c r="E20" s="105">
        <f>-E8/E7</f>
        <v>0.1968235318800747</v>
      </c>
      <c r="F20" s="91">
        <f>AVERAGE($C$20:$E$20)</f>
        <v>0.18419041703267205</v>
      </c>
      <c r="G20" s="91">
        <f>AVERAGE($C$20:$E$20)</f>
        <v>0.18419041703267205</v>
      </c>
      <c r="H20" s="91">
        <f>AVERAGE($C$20:$E$20)</f>
        <v>0.18419041703267205</v>
      </c>
      <c r="I20" s="91">
        <f>AVERAGE($C$20:$E$20)</f>
        <v>0.18419041703267205</v>
      </c>
      <c r="J20" s="92">
        <f>AVERAGE($C$20:$E$20)</f>
        <v>0.18419041703267205</v>
      </c>
      <c r="L20" s="208"/>
    </row>
    <row r="21" spans="2:12" x14ac:dyDescent="0.3">
      <c r="B21" s="172" t="s">
        <v>171</v>
      </c>
      <c r="C21" s="106">
        <f>C9/C7</f>
        <v>0.96118009557371908</v>
      </c>
      <c r="D21" s="106">
        <f>D9/D7</f>
        <v>0.63695056988139631</v>
      </c>
      <c r="E21" s="107">
        <f>E9/E7</f>
        <v>0.29098881732161214</v>
      </c>
      <c r="F21" s="114">
        <f>AVERAGE($C$21:$E$21)</f>
        <v>0.62970649425890912</v>
      </c>
      <c r="G21" s="114">
        <f>F21+$L$21</f>
        <v>0.57970649425890908</v>
      </c>
      <c r="H21" s="114">
        <f t="shared" ref="H21:J21" si="3">G21+$L$21</f>
        <v>0.52970649425890903</v>
      </c>
      <c r="I21" s="114">
        <f t="shared" si="3"/>
        <v>0.47970649425890904</v>
      </c>
      <c r="J21" s="115">
        <f t="shared" si="3"/>
        <v>0.42970649425890906</v>
      </c>
      <c r="L21" s="207">
        <v>-0.05</v>
      </c>
    </row>
    <row r="22" spans="2:12" x14ac:dyDescent="0.3">
      <c r="B22" s="172" t="s">
        <v>172</v>
      </c>
      <c r="C22" s="106">
        <f>C10/C7</f>
        <v>-0.10532482149117142</v>
      </c>
      <c r="D22" s="106">
        <f>D10/D7</f>
        <v>-0.14958491480700054</v>
      </c>
      <c r="E22" s="146">
        <f>E10/E7</f>
        <v>-6.8904601053227876E-2</v>
      </c>
      <c r="F22" s="114">
        <f>AVERAGE($C$22:$E$22)</f>
        <v>-0.1079381124504666</v>
      </c>
      <c r="G22" s="114">
        <f t="shared" ref="G22:J22" si="4">AVERAGE($C$22:$E$22)</f>
        <v>-0.1079381124504666</v>
      </c>
      <c r="H22" s="114">
        <f t="shared" si="4"/>
        <v>-0.1079381124504666</v>
      </c>
      <c r="I22" s="114">
        <f t="shared" si="4"/>
        <v>-0.1079381124504666</v>
      </c>
      <c r="J22" s="115">
        <f t="shared" si="4"/>
        <v>-0.1079381124504666</v>
      </c>
      <c r="L22" s="208"/>
    </row>
    <row r="23" spans="2:12" x14ac:dyDescent="0.3">
      <c r="B23" s="172" t="s">
        <v>173</v>
      </c>
      <c r="C23" s="19">
        <f>C14/C13</f>
        <v>-0.68005694049024368</v>
      </c>
      <c r="D23" s="112">
        <f>D14/D13</f>
        <v>-1.2564945363402396E-2</v>
      </c>
      <c r="E23" s="113">
        <f>E14/E13</f>
        <v>-1.2793978674098859E-2</v>
      </c>
      <c r="F23" s="21">
        <f>AVERAGE($D$23:$E$23)</f>
        <v>-1.2679462018750629E-2</v>
      </c>
      <c r="G23" s="21">
        <f>AVERAGE($D$23:$E$23)</f>
        <v>-1.2679462018750629E-2</v>
      </c>
      <c r="H23" s="21">
        <f>AVERAGE($D$23:$E$23)</f>
        <v>-1.2679462018750629E-2</v>
      </c>
      <c r="I23" s="21">
        <f>AVERAGE($D$23:$E$23)</f>
        <v>-1.2679462018750629E-2</v>
      </c>
      <c r="J23" s="115">
        <f>AVERAGE($D$23:$E$23)</f>
        <v>-1.2679462018750629E-2</v>
      </c>
      <c r="L23" s="208"/>
    </row>
    <row r="24" spans="2:12" ht="13.5" thickBot="1" x14ac:dyDescent="0.35">
      <c r="B24" s="173" t="s">
        <v>174</v>
      </c>
      <c r="C24" s="175">
        <f>C15/C13</f>
        <v>62.181515172557461</v>
      </c>
      <c r="D24" s="175">
        <f>D15/D13</f>
        <v>8.3403373131492806E-3</v>
      </c>
      <c r="E24" s="176">
        <f>E15/E13</f>
        <v>4.1571783849038415E-3</v>
      </c>
      <c r="F24" s="177">
        <f>AVERAGE($D$24:$E$24)</f>
        <v>6.2487578490265615E-3</v>
      </c>
      <c r="G24" s="177">
        <f>AVERAGE($D$24:$E$24)</f>
        <v>6.2487578490265615E-3</v>
      </c>
      <c r="H24" s="177">
        <f>AVERAGE($D$24:$E$24)</f>
        <v>6.2487578490265615E-3</v>
      </c>
      <c r="I24" s="177">
        <f>AVERAGE($D$24:$E$24)</f>
        <v>6.2487578490265615E-3</v>
      </c>
      <c r="J24" s="178">
        <f>AVERAGE($D$24:$E$24)</f>
        <v>6.2487578490265615E-3</v>
      </c>
      <c r="L24" s="209"/>
    </row>
    <row r="25" spans="2:12" x14ac:dyDescent="0.3">
      <c r="E25" s="57"/>
    </row>
    <row r="26" spans="2:12" x14ac:dyDescent="0.3">
      <c r="E26" s="57"/>
    </row>
  </sheetData>
  <mergeCells count="1">
    <mergeCell ref="C18:E18"/>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CBD36-25AA-4E3B-80FE-507EBD667CF2}">
  <sheetPr>
    <tabColor rgb="FF002060"/>
  </sheetPr>
  <dimension ref="A1"/>
  <sheetViews>
    <sheetView showGridLines="0" workbookViewId="0"/>
  </sheetViews>
  <sheetFormatPr defaultRowHeight="14.5" x14ac:dyDescent="0.35"/>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57090-45A3-4678-88D8-4AA9BA6C3105}">
  <dimension ref="B1:AA58"/>
  <sheetViews>
    <sheetView showGridLines="0" tabSelected="1" topLeftCell="F1" zoomScale="80" workbookViewId="0">
      <selection activeCell="P15" sqref="P15"/>
    </sheetView>
  </sheetViews>
  <sheetFormatPr defaultRowHeight="14.5" x14ac:dyDescent="0.35"/>
  <cols>
    <col min="1" max="1" width="2.7265625" customWidth="1"/>
    <col min="2" max="2" width="41.453125" bestFit="1" customWidth="1"/>
    <col min="3" max="3" width="9" bestFit="1" customWidth="1"/>
    <col min="4" max="4" width="24.26953125" bestFit="1" customWidth="1"/>
    <col min="5" max="5" width="11.7265625" customWidth="1"/>
    <col min="6" max="6" width="24.453125" bestFit="1" customWidth="1"/>
    <col min="7" max="7" width="13.26953125" customWidth="1"/>
    <col min="8" max="11" width="11.26953125" bestFit="1" customWidth="1"/>
    <col min="13" max="13" width="11" customWidth="1"/>
    <col min="14" max="14" width="33.81640625" bestFit="1" customWidth="1"/>
    <col min="15" max="15" width="9.54296875" bestFit="1" customWidth="1"/>
    <col min="16" max="16" width="13" bestFit="1" customWidth="1"/>
    <col min="17" max="17" width="10.54296875" customWidth="1"/>
    <col min="18" max="18" width="33.81640625" bestFit="1" customWidth="1"/>
    <col min="19" max="19" width="11.26953125" bestFit="1" customWidth="1"/>
    <col min="22" max="27" width="11.36328125" bestFit="1" customWidth="1"/>
  </cols>
  <sheetData>
    <row r="1" spans="2:27" s="1" customFormat="1" ht="15.5" x14ac:dyDescent="0.35">
      <c r="B1" s="108" t="str">
        <f>Intro!B1</f>
        <v>Crocs Inc (CROX)</v>
      </c>
    </row>
    <row r="2" spans="2:27" s="1" customFormat="1" x14ac:dyDescent="0.35">
      <c r="B2" s="110" t="s">
        <v>175</v>
      </c>
    </row>
    <row r="3" spans="2:27" s="1" customFormat="1" x14ac:dyDescent="0.35">
      <c r="B3" s="111" t="s">
        <v>176</v>
      </c>
    </row>
    <row r="4" spans="2:27" ht="17" x14ac:dyDescent="0.4">
      <c r="D4" s="314" t="s">
        <v>4</v>
      </c>
      <c r="E4" s="314"/>
      <c r="F4" s="315"/>
      <c r="G4" s="316" t="s">
        <v>5</v>
      </c>
      <c r="H4" s="316"/>
      <c r="I4" s="316"/>
      <c r="J4" s="316"/>
      <c r="K4" s="316"/>
      <c r="V4" s="328" t="s">
        <v>262</v>
      </c>
      <c r="W4" s="328"/>
      <c r="X4" s="328"/>
      <c r="Y4" s="328"/>
      <c r="Z4" s="328"/>
      <c r="AA4" s="328"/>
    </row>
    <row r="5" spans="2:27" x14ac:dyDescent="0.35">
      <c r="B5" s="233"/>
      <c r="D5" s="234">
        <v>2022</v>
      </c>
      <c r="E5" s="244">
        <v>2023</v>
      </c>
      <c r="F5" s="245">
        <v>2024</v>
      </c>
      <c r="G5" s="234">
        <v>2025</v>
      </c>
      <c r="H5" s="234">
        <v>2026</v>
      </c>
      <c r="I5" s="234">
        <v>2027</v>
      </c>
      <c r="J5" s="234">
        <v>2028</v>
      </c>
      <c r="K5" s="234">
        <v>2029</v>
      </c>
    </row>
    <row r="6" spans="2:27" x14ac:dyDescent="0.35">
      <c r="B6" s="233" t="s">
        <v>180</v>
      </c>
      <c r="D6" s="250"/>
      <c r="E6" s="250"/>
      <c r="F6" s="250"/>
      <c r="G6" s="263">
        <f>'Income Statement'!F7/1000</f>
        <v>4225.1712400000006</v>
      </c>
      <c r="H6" s="263">
        <f>'Income Statement'!G7/1000</f>
        <v>4341.3634491000012</v>
      </c>
      <c r="I6" s="263">
        <f>'Income Statement'!H7/1000</f>
        <v>4449.8975353275009</v>
      </c>
      <c r="J6" s="263">
        <f>'Income Statement'!I7/1000</f>
        <v>4550.0202298723689</v>
      </c>
      <c r="K6" s="263">
        <f>'Income Statement'!J7/1000</f>
        <v>4641.0206344698163</v>
      </c>
    </row>
    <row r="7" spans="2:27" x14ac:dyDescent="0.35">
      <c r="B7" s="280" t="s">
        <v>7</v>
      </c>
      <c r="D7" s="250"/>
      <c r="E7" s="250"/>
      <c r="F7" s="250"/>
      <c r="G7" s="263">
        <f>'Income Statement'!F8/1000</f>
        <v>1875.1214752247711</v>
      </c>
      <c r="H7" s="263">
        <f>'Income Statement'!G8/1000</f>
        <v>1926.6873157934529</v>
      </c>
      <c r="I7" s="263">
        <f>'Income Statement'!H8/1000</f>
        <v>1974.8544986882889</v>
      </c>
      <c r="J7" s="263">
        <f>'Income Statement'!I8/1000</f>
        <v>2019.2887249087753</v>
      </c>
      <c r="K7" s="263">
        <f>'Income Statement'!J8/1000</f>
        <v>2059.6744994069509</v>
      </c>
      <c r="S7" s="275"/>
      <c r="V7" s="323" t="s">
        <v>259</v>
      </c>
      <c r="W7" s="323"/>
      <c r="X7" s="323"/>
      <c r="Y7" s="323"/>
      <c r="Z7" s="323"/>
      <c r="AA7" s="323"/>
    </row>
    <row r="8" spans="2:27" x14ac:dyDescent="0.35">
      <c r="B8" s="236" t="s">
        <v>8</v>
      </c>
      <c r="C8" s="237"/>
      <c r="D8" s="251"/>
      <c r="E8" s="251"/>
      <c r="F8" s="251"/>
      <c r="G8" s="264">
        <f>'Income Statement'!F9/1000</f>
        <v>2350.0497647752291</v>
      </c>
      <c r="H8" s="264">
        <f>'Income Statement'!G9/1000</f>
        <v>2414.6761333065479</v>
      </c>
      <c r="I8" s="264">
        <f>'Income Statement'!H9/1000</f>
        <v>2475.0430366392116</v>
      </c>
      <c r="J8" s="264">
        <f>'Income Statement'!I9/1000</f>
        <v>2530.731504963594</v>
      </c>
      <c r="K8" s="264">
        <f>'Income Statement'!J9/1000</f>
        <v>2581.3461350628654</v>
      </c>
      <c r="W8" s="327" t="s">
        <v>221</v>
      </c>
      <c r="X8" s="327"/>
      <c r="Y8" s="327"/>
      <c r="Z8" s="327"/>
      <c r="AA8" s="327"/>
    </row>
    <row r="9" spans="2:27" x14ac:dyDescent="0.35">
      <c r="G9" s="263"/>
      <c r="H9" s="263"/>
      <c r="I9" s="263"/>
      <c r="J9" s="263"/>
      <c r="K9" s="263"/>
      <c r="V9" s="262">
        <f>P19</f>
        <v>12160.969777549501</v>
      </c>
      <c r="W9" s="277">
        <f>X9-0.5</f>
        <v>9.7100000000000009</v>
      </c>
      <c r="X9" s="277">
        <f>Y9-0.5</f>
        <v>10.210000000000001</v>
      </c>
      <c r="Y9" s="278">
        <f>P13</f>
        <v>10.71</v>
      </c>
      <c r="Z9" s="278">
        <f>Y9+0.5</f>
        <v>11.21</v>
      </c>
      <c r="AA9" s="278">
        <f>Z9+0.5</f>
        <v>11.71</v>
      </c>
    </row>
    <row r="10" spans="2:27" x14ac:dyDescent="0.35">
      <c r="B10" s="280" t="s">
        <v>181</v>
      </c>
      <c r="D10" s="250"/>
      <c r="E10" s="250"/>
      <c r="F10" s="250"/>
      <c r="G10" s="263">
        <f>'Income Statement'!F11/1000</f>
        <v>1293.6290178107074</v>
      </c>
      <c r="H10" s="263">
        <f>'Income Statement'!G11/1000</f>
        <v>1329.2038158005023</v>
      </c>
      <c r="I10" s="263">
        <f>'Income Statement'!H11/1000</f>
        <v>1362.4339111955146</v>
      </c>
      <c r="J10" s="263">
        <f>'Income Statement'!I11/1000</f>
        <v>1393.0886741974136</v>
      </c>
      <c r="K10" s="263">
        <f>'Income Statement'!J11/1000</f>
        <v>1420.9504476813618</v>
      </c>
      <c r="N10" s="323" t="s">
        <v>218</v>
      </c>
      <c r="O10" s="323"/>
      <c r="P10" s="323"/>
      <c r="Q10" s="323"/>
      <c r="R10" s="323"/>
      <c r="S10" s="323"/>
      <c r="V10" s="276">
        <f>V11-0.01</f>
        <v>6.3618125350127175E-2</v>
      </c>
      <c r="W10" s="266">
        <f t="dataTable" ref="W10:AA14" dt2D="1" dtr="1" r1="P13" r2="P15" ca="1"/>
        <v>12115.773620005806</v>
      </c>
      <c r="X10" s="266">
        <v>11639.631675865787</v>
      </c>
      <c r="Y10" s="266">
        <v>11639.631675865787</v>
      </c>
      <c r="Z10" s="266">
        <v>12115.773620005806</v>
      </c>
      <c r="AA10" s="266">
        <v>13068.057508285843</v>
      </c>
    </row>
    <row r="11" spans="2:27" x14ac:dyDescent="0.35">
      <c r="B11" s="280" t="s">
        <v>182</v>
      </c>
      <c r="D11" s="250"/>
      <c r="E11" s="250"/>
      <c r="F11" s="250"/>
      <c r="G11" s="263">
        <f>'Statement of Cash Flows'!F10/1000</f>
        <v>67.536583909959305</v>
      </c>
      <c r="H11" s="263">
        <f>'Statement of Cash Flows'!G10/1000</f>
        <v>82.584099204571956</v>
      </c>
      <c r="I11" s="263">
        <f>'Statement of Cash Flows'!H10/1000</f>
        <v>99.751341700500348</v>
      </c>
      <c r="J11" s="263">
        <f>'Statement of Cash Flows'!I10/1000</f>
        <v>118.02244304256872</v>
      </c>
      <c r="K11" s="263">
        <f>'Statement of Cash Flows'!J10/1000</f>
        <v>135.87316221008709</v>
      </c>
      <c r="N11" s="324" t="s">
        <v>219</v>
      </c>
      <c r="O11" s="325"/>
      <c r="P11" s="326"/>
      <c r="R11" s="324" t="s">
        <v>226</v>
      </c>
      <c r="S11" s="326"/>
      <c r="V11" s="276">
        <f>V12-0.01</f>
        <v>7.361812535012717E-2</v>
      </c>
      <c r="W11" s="266">
        <v>12562.98843634985</v>
      </c>
      <c r="X11" s="266">
        <v>12063.817922882125</v>
      </c>
      <c r="Y11" s="266">
        <v>12063.817922882125</v>
      </c>
      <c r="Z11" s="266">
        <v>12562.98843634985</v>
      </c>
      <c r="AA11" s="266">
        <v>13561.329463285298</v>
      </c>
    </row>
    <row r="12" spans="2:27" x14ac:dyDescent="0.35">
      <c r="B12" s="236" t="s">
        <v>183</v>
      </c>
      <c r="C12" s="237"/>
      <c r="D12" s="251"/>
      <c r="E12" s="251"/>
      <c r="F12" s="251"/>
      <c r="G12" s="265">
        <f>G8-G10+G11</f>
        <v>1123.9573308744809</v>
      </c>
      <c r="H12" s="265">
        <f t="shared" ref="H12:K12" si="0">H8-H10+H11</f>
        <v>1168.0564167106174</v>
      </c>
      <c r="I12" s="265">
        <f t="shared" si="0"/>
        <v>1212.3604671441972</v>
      </c>
      <c r="J12" s="265">
        <f t="shared" si="0"/>
        <v>1255.6652738087491</v>
      </c>
      <c r="K12" s="265">
        <f t="shared" si="0"/>
        <v>1296.2688495915907</v>
      </c>
      <c r="N12" s="240" t="s">
        <v>220</v>
      </c>
      <c r="P12" s="270">
        <f>K12</f>
        <v>1296.2688495915907</v>
      </c>
      <c r="R12" s="240" t="s">
        <v>228</v>
      </c>
      <c r="S12" s="270">
        <f>K23</f>
        <v>783.98255052115724</v>
      </c>
      <c r="U12" s="261" t="s">
        <v>260</v>
      </c>
      <c r="V12" s="276">
        <f>P15</f>
        <v>8.3618125350127165E-2</v>
      </c>
      <c r="W12" s="266">
        <v>12562.98843634985</v>
      </c>
      <c r="X12" s="266">
        <v>12063.817922882125</v>
      </c>
      <c r="Y12" s="266">
        <v>12063.817922882125</v>
      </c>
      <c r="Z12" s="266">
        <v>12562.98843634985</v>
      </c>
      <c r="AA12" s="266">
        <v>13561.329463285298</v>
      </c>
    </row>
    <row r="13" spans="2:27" x14ac:dyDescent="0.35">
      <c r="G13" s="266"/>
      <c r="H13" s="266"/>
      <c r="I13" s="266"/>
      <c r="J13" s="266"/>
      <c r="K13" s="266"/>
      <c r="N13" s="240" t="s">
        <v>221</v>
      </c>
      <c r="P13" s="285">
        <v>10.71</v>
      </c>
      <c r="R13" s="240" t="s">
        <v>227</v>
      </c>
      <c r="S13" s="286">
        <v>2.5000000000000001E-2</v>
      </c>
      <c r="V13" s="276">
        <f>V12+0.01</f>
        <v>9.361812535012716E-2</v>
      </c>
      <c r="W13" s="266">
        <v>12115.773620005806</v>
      </c>
      <c r="X13" s="266">
        <v>11639.631675865787</v>
      </c>
      <c r="Y13" s="266">
        <v>11639.631675865787</v>
      </c>
      <c r="Z13" s="266">
        <v>12115.773620005806</v>
      </c>
      <c r="AA13" s="266">
        <v>13068.057508285843</v>
      </c>
    </row>
    <row r="14" spans="2:27" x14ac:dyDescent="0.35">
      <c r="B14" s="280" t="s">
        <v>184</v>
      </c>
      <c r="D14" s="235"/>
      <c r="E14" s="235"/>
      <c r="F14" s="235"/>
      <c r="G14" s="263">
        <f>'Statement of Cash Flows'!F10/1000</f>
        <v>67.536583909959305</v>
      </c>
      <c r="H14" s="263">
        <f>'Statement of Cash Flows'!G10/1000</f>
        <v>82.584099204571956</v>
      </c>
      <c r="I14" s="263">
        <f>'Statement of Cash Flows'!H10/1000</f>
        <v>99.751341700500348</v>
      </c>
      <c r="J14" s="263">
        <f>'Statement of Cash Flows'!I10/1000</f>
        <v>118.02244304256872</v>
      </c>
      <c r="K14" s="263">
        <f>'Statement of Cash Flows'!J10/1000</f>
        <v>135.87316221008709</v>
      </c>
      <c r="N14" s="281" t="s">
        <v>222</v>
      </c>
      <c r="P14" s="270">
        <f>P13*P12</f>
        <v>13883.039379125938</v>
      </c>
      <c r="R14" s="240" t="s">
        <v>206</v>
      </c>
      <c r="S14" s="252">
        <f>D51</f>
        <v>8.3618125350127165E-2</v>
      </c>
      <c r="V14" s="276">
        <f>V13+0.01</f>
        <v>0.10361812535012715</v>
      </c>
      <c r="W14" s="266">
        <v>11293.381288964732</v>
      </c>
      <c r="X14" s="266">
        <v>10859.587044672349</v>
      </c>
      <c r="Y14" s="266">
        <v>10859.587044672349</v>
      </c>
      <c r="Z14" s="266">
        <v>11293.381288964732</v>
      </c>
      <c r="AA14" s="266">
        <v>12160.969777549501</v>
      </c>
    </row>
    <row r="15" spans="2:27" x14ac:dyDescent="0.35">
      <c r="B15" s="236" t="s">
        <v>185</v>
      </c>
      <c r="C15" s="237"/>
      <c r="D15" s="238"/>
      <c r="E15" s="238"/>
      <c r="F15" s="238"/>
      <c r="G15" s="265">
        <f>G12-G14</f>
        <v>1056.4207469645216</v>
      </c>
      <c r="H15" s="265">
        <f t="shared" ref="H15:K15" si="1">H12-H14</f>
        <v>1085.4723175060456</v>
      </c>
      <c r="I15" s="265">
        <f t="shared" si="1"/>
        <v>1112.6091254436969</v>
      </c>
      <c r="J15" s="265">
        <f t="shared" si="1"/>
        <v>1137.6428307661804</v>
      </c>
      <c r="K15" s="265">
        <f t="shared" si="1"/>
        <v>1160.3956873815036</v>
      </c>
      <c r="N15" s="240" t="s">
        <v>206</v>
      </c>
      <c r="P15" s="252">
        <f>D51</f>
        <v>8.3618125350127165E-2</v>
      </c>
      <c r="R15" s="281" t="s">
        <v>222</v>
      </c>
      <c r="S15" s="270">
        <f>S12*(1+S13)/(S14-S13)</f>
        <v>13708.765155561954</v>
      </c>
    </row>
    <row r="16" spans="2:27" x14ac:dyDescent="0.35">
      <c r="G16" s="266"/>
      <c r="H16" s="266"/>
      <c r="I16" s="266"/>
      <c r="J16" s="266"/>
      <c r="K16" s="266"/>
      <c r="N16" s="282" t="s">
        <v>223</v>
      </c>
      <c r="P16" s="270">
        <f>P14/(1+P15)^5</f>
        <v>9291.8727127428574</v>
      </c>
      <c r="R16" s="240" t="s">
        <v>206</v>
      </c>
      <c r="S16" s="255">
        <f>S14</f>
        <v>8.3618125350127165E-2</v>
      </c>
    </row>
    <row r="17" spans="2:27" x14ac:dyDescent="0.35">
      <c r="B17" s="280" t="s">
        <v>186</v>
      </c>
      <c r="D17" s="235"/>
      <c r="E17" s="235"/>
      <c r="F17" s="235"/>
      <c r="G17" s="263">
        <f>-G15*'Income Statement'!F35</f>
        <v>-221.84835686254954</v>
      </c>
      <c r="H17" s="263">
        <f>-H15*'Income Statement'!G35</f>
        <v>-227.94918667626956</v>
      </c>
      <c r="I17" s="263">
        <f>-I15*'Income Statement'!H35</f>
        <v>-233.64791634317635</v>
      </c>
      <c r="J17" s="263">
        <f>-J15*'Income Statement'!I35</f>
        <v>-238.90499446089788</v>
      </c>
      <c r="K17" s="263">
        <f>-K15*'Income Statement'!J35</f>
        <v>-243.68309435011577</v>
      </c>
      <c r="N17" s="240" t="s">
        <v>224</v>
      </c>
      <c r="P17" s="270">
        <f>SUM(G27:K27)</f>
        <v>2869.0970648066432</v>
      </c>
      <c r="R17" s="282" t="s">
        <v>223</v>
      </c>
      <c r="S17" s="270">
        <f>S15/(1+S16)^5</f>
        <v>9175.2315466230375</v>
      </c>
      <c r="V17" s="323" t="s">
        <v>261</v>
      </c>
      <c r="W17" s="323"/>
      <c r="X17" s="323"/>
      <c r="Y17" s="323"/>
      <c r="Z17" s="323"/>
      <c r="AA17" s="323"/>
    </row>
    <row r="18" spans="2:27" x14ac:dyDescent="0.35">
      <c r="B18" s="236" t="s">
        <v>187</v>
      </c>
      <c r="C18" s="237"/>
      <c r="D18" s="238"/>
      <c r="E18" s="238"/>
      <c r="F18" s="238"/>
      <c r="G18" s="265">
        <f>SUM(G15,G17)</f>
        <v>834.57239010197213</v>
      </c>
      <c r="H18" s="265">
        <f t="shared" ref="H18:K18" si="2">SUM(H15,H17)</f>
        <v>857.52313082977594</v>
      </c>
      <c r="I18" s="265">
        <f t="shared" si="2"/>
        <v>878.96120910052059</v>
      </c>
      <c r="J18" s="265">
        <f t="shared" si="2"/>
        <v>898.73783630528249</v>
      </c>
      <c r="K18" s="265">
        <f t="shared" si="2"/>
        <v>916.71259303138788</v>
      </c>
      <c r="N18" s="240"/>
      <c r="P18" s="241"/>
      <c r="R18" s="240" t="s">
        <v>224</v>
      </c>
      <c r="S18" s="270">
        <f>SUM(G27:K27)</f>
        <v>2869.0970648066432</v>
      </c>
      <c r="W18" s="327" t="s">
        <v>221</v>
      </c>
      <c r="X18" s="327"/>
      <c r="Y18" s="327"/>
      <c r="Z18" s="327"/>
      <c r="AA18" s="327"/>
    </row>
    <row r="19" spans="2:27" x14ac:dyDescent="0.35">
      <c r="G19" s="266"/>
      <c r="H19" s="266"/>
      <c r="I19" s="266"/>
      <c r="J19" s="266"/>
      <c r="K19" s="266"/>
      <c r="N19" s="246" t="s">
        <v>225</v>
      </c>
      <c r="O19" s="237"/>
      <c r="P19" s="271">
        <f>SUM(P16:P17)</f>
        <v>12160.969777549501</v>
      </c>
      <c r="R19" s="247" t="s">
        <v>225</v>
      </c>
      <c r="S19" s="274">
        <f>SUM(S17:S18)</f>
        <v>12044.328611429681</v>
      </c>
      <c r="V19" s="262">
        <f>P32</f>
        <v>183.72247664298013</v>
      </c>
      <c r="W19" s="277">
        <f>X19-0.5</f>
        <v>9.7100000000000009</v>
      </c>
      <c r="X19" s="277">
        <f>Y19-0.5</f>
        <v>10.210000000000001</v>
      </c>
      <c r="Y19" s="278">
        <f>P13</f>
        <v>10.71</v>
      </c>
      <c r="Z19" s="278">
        <f>Y19+0.5</f>
        <v>11.21</v>
      </c>
      <c r="AA19" s="278">
        <f>Z19+0.5</f>
        <v>11.71</v>
      </c>
    </row>
    <row r="20" spans="2:27" x14ac:dyDescent="0.35">
      <c r="B20" s="280" t="s">
        <v>188</v>
      </c>
      <c r="D20" s="235"/>
      <c r="E20" s="235"/>
      <c r="F20" s="235"/>
      <c r="G20" s="263">
        <f>'Statement of Cash Flows'!F10/1000</f>
        <v>67.536583909959305</v>
      </c>
      <c r="H20" s="263">
        <f>'Statement of Cash Flows'!G10/1000</f>
        <v>82.584099204571956</v>
      </c>
      <c r="I20" s="263">
        <f>'Statement of Cash Flows'!H10/1000</f>
        <v>99.751341700500348</v>
      </c>
      <c r="J20" s="263">
        <f>'Statement of Cash Flows'!I10/1000</f>
        <v>118.02244304256872</v>
      </c>
      <c r="K20" s="263">
        <f>'Statement of Cash Flows'!J10/1000</f>
        <v>135.87316221008709</v>
      </c>
      <c r="V20" s="276">
        <f>V21-0.01</f>
        <v>6.3618125350127175E-2</v>
      </c>
      <c r="W20" s="262">
        <f t="dataTable" ref="W20:AA24" dt2D="1" dtr="1" r1="P13" r2="P15" ca="1"/>
        <v>182.96706702332955</v>
      </c>
      <c r="X20" s="262">
        <v>175.00881958659181</v>
      </c>
      <c r="Y20" s="262">
        <v>175.00881958659181</v>
      </c>
      <c r="Z20" s="262">
        <v>182.96706702332955</v>
      </c>
      <c r="AA20" s="262">
        <v>198.88356189680502</v>
      </c>
    </row>
    <row r="21" spans="2:27" x14ac:dyDescent="0.35">
      <c r="B21" s="280" t="s">
        <v>189</v>
      </c>
      <c r="D21" s="235"/>
      <c r="E21" s="235"/>
      <c r="F21" s="235"/>
      <c r="G21" s="263">
        <f>-'Statement of Cash Flows'!F26/1000</f>
        <v>153.85933627475055</v>
      </c>
      <c r="H21" s="263">
        <f>-'Statement of Cash Flows'!G26/1000</f>
        <v>189.45800227495735</v>
      </c>
      <c r="I21" s="263">
        <f>-'Statement of Cash Flows'!H26/1000</f>
        <v>222.90182338201797</v>
      </c>
      <c r="J21" s="263">
        <f>-'Statement of Cash Flows'!I26/1000</f>
        <v>249.81958911015371</v>
      </c>
      <c r="K21" s="263">
        <f>-'Statement of Cash Flows'!J26/1000</f>
        <v>265.75713905644881</v>
      </c>
      <c r="N21" s="323" t="s">
        <v>237</v>
      </c>
      <c r="O21" s="323"/>
      <c r="P21" s="323"/>
      <c r="Q21" s="323"/>
      <c r="R21" s="323"/>
      <c r="S21" s="323"/>
      <c r="V21" s="276">
        <f>V22-0.01</f>
        <v>7.361812535012717E-2</v>
      </c>
      <c r="W21" s="262">
        <v>190.44182577887096</v>
      </c>
      <c r="X21" s="262">
        <v>182.0986783032279</v>
      </c>
      <c r="Y21" s="262">
        <v>182.0986783032279</v>
      </c>
      <c r="Z21" s="262">
        <v>190.44182577887096</v>
      </c>
      <c r="AA21" s="262">
        <v>207.12812073015709</v>
      </c>
    </row>
    <row r="22" spans="2:27" x14ac:dyDescent="0.35">
      <c r="B22" s="280" t="s">
        <v>190</v>
      </c>
      <c r="D22" s="235"/>
      <c r="E22" s="235"/>
      <c r="F22" s="235"/>
      <c r="G22" s="263">
        <f>G45</f>
        <v>138.26653104609932</v>
      </c>
      <c r="H22" s="263">
        <f t="shared" ref="H22:K22" si="3">H45</f>
        <v>3.6339471037675821</v>
      </c>
      <c r="I22" s="263">
        <f t="shared" si="3"/>
        <v>3.3944369537468901</v>
      </c>
      <c r="J22" s="263">
        <f t="shared" si="3"/>
        <v>3.1313680898311986</v>
      </c>
      <c r="K22" s="263">
        <f t="shared" si="3"/>
        <v>2.8460656638690125</v>
      </c>
      <c r="N22" s="324" t="s">
        <v>219</v>
      </c>
      <c r="O22" s="325"/>
      <c r="P22" s="326"/>
      <c r="R22" s="324" t="s">
        <v>226</v>
      </c>
      <c r="S22" s="326"/>
      <c r="U22" s="261" t="s">
        <v>260</v>
      </c>
      <c r="V22" s="276">
        <f>P15</f>
        <v>8.3618125350127165E-2</v>
      </c>
      <c r="W22" s="262">
        <v>190.44182577887096</v>
      </c>
      <c r="X22" s="262">
        <v>182.0986783032279</v>
      </c>
      <c r="Y22" s="262">
        <v>182.0986783032279</v>
      </c>
      <c r="Z22" s="262">
        <v>190.44182577887096</v>
      </c>
      <c r="AA22" s="262">
        <v>207.12812073015709</v>
      </c>
    </row>
    <row r="23" spans="2:27" x14ac:dyDescent="0.35">
      <c r="B23" s="236" t="s">
        <v>191</v>
      </c>
      <c r="C23" s="237"/>
      <c r="D23" s="238"/>
      <c r="E23" s="238"/>
      <c r="F23" s="238"/>
      <c r="G23" s="265">
        <f>G18+G20-G21-G22</f>
        <v>609.9831066910815</v>
      </c>
      <c r="H23" s="265">
        <f t="shared" ref="H23:K23" si="4">H18+H20-H21-H22</f>
        <v>747.01528065562297</v>
      </c>
      <c r="I23" s="265">
        <f t="shared" si="4"/>
        <v>752.41629046525611</v>
      </c>
      <c r="J23" s="265">
        <f t="shared" si="4"/>
        <v>763.80932214786628</v>
      </c>
      <c r="K23" s="265">
        <f t="shared" si="4"/>
        <v>783.98255052115724</v>
      </c>
      <c r="N23" s="248" t="s">
        <v>225</v>
      </c>
      <c r="O23" s="242"/>
      <c r="P23" s="273">
        <f>P19</f>
        <v>12160.969777549501</v>
      </c>
      <c r="R23" s="248" t="s">
        <v>225</v>
      </c>
      <c r="S23" s="273">
        <f>S19</f>
        <v>12044.328611429681</v>
      </c>
      <c r="V23" s="276">
        <f>V22+0.01</f>
        <v>9.361812535012716E-2</v>
      </c>
      <c r="W23" s="262">
        <v>182.96706702332955</v>
      </c>
      <c r="X23" s="262">
        <v>175.00881958659181</v>
      </c>
      <c r="Y23" s="262">
        <v>175.00881958659181</v>
      </c>
      <c r="Z23" s="262">
        <v>182.96706702332955</v>
      </c>
      <c r="AA23" s="262">
        <v>198.88356189680502</v>
      </c>
    </row>
    <row r="24" spans="2:27" x14ac:dyDescent="0.35">
      <c r="N24" s="240" t="s">
        <v>229</v>
      </c>
      <c r="P24" s="270">
        <f>'Balance Sheet'!E8/1000</f>
        <v>180.48500000000001</v>
      </c>
      <c r="R24" s="240" t="s">
        <v>229</v>
      </c>
      <c r="S24" s="270">
        <f>P24</f>
        <v>180.48500000000001</v>
      </c>
      <c r="V24" s="276">
        <f>V23+0.01</f>
        <v>0.10361812535012715</v>
      </c>
      <c r="W24" s="262">
        <v>169.22158263354058</v>
      </c>
      <c r="X24" s="262">
        <v>161.97113562882083</v>
      </c>
      <c r="Y24" s="262">
        <v>161.97113562882083</v>
      </c>
      <c r="Z24" s="262">
        <v>169.22158263354058</v>
      </c>
      <c r="AA24" s="262">
        <v>183.72247664298013</v>
      </c>
    </row>
    <row r="25" spans="2:27" x14ac:dyDescent="0.35">
      <c r="B25" t="s">
        <v>192</v>
      </c>
      <c r="D25" s="235"/>
      <c r="E25" s="235"/>
      <c r="F25" s="235"/>
      <c r="G25" s="257">
        <f>$D$51</f>
        <v>8.3618125350127165E-2</v>
      </c>
      <c r="H25" s="257">
        <f t="shared" ref="H25:K25" si="5">$D$51</f>
        <v>8.3618125350127165E-2</v>
      </c>
      <c r="I25" s="257">
        <f t="shared" si="5"/>
        <v>8.3618125350127165E-2</v>
      </c>
      <c r="J25" s="257">
        <f t="shared" si="5"/>
        <v>8.3618125350127165E-2</v>
      </c>
      <c r="K25" s="257">
        <f t="shared" si="5"/>
        <v>8.3618125350127165E-2</v>
      </c>
      <c r="N25" s="240" t="s">
        <v>230</v>
      </c>
      <c r="P25" s="270">
        <f>'Balance Sheet'!E37/1000</f>
        <v>1349.3389999999999</v>
      </c>
      <c r="R25" s="240" t="s">
        <v>230</v>
      </c>
      <c r="S25" s="270">
        <f t="shared" ref="S25:S27" si="6">P25</f>
        <v>1349.3389999999999</v>
      </c>
    </row>
    <row r="26" spans="2:27" x14ac:dyDescent="0.35">
      <c r="N26" s="240" t="s">
        <v>231</v>
      </c>
      <c r="P26" s="270">
        <v>0</v>
      </c>
      <c r="R26" s="240" t="s">
        <v>231</v>
      </c>
      <c r="S26" s="270">
        <f t="shared" si="6"/>
        <v>0</v>
      </c>
    </row>
    <row r="27" spans="2:27" x14ac:dyDescent="0.35">
      <c r="B27" s="236" t="s">
        <v>193</v>
      </c>
      <c r="C27" s="237"/>
      <c r="D27" s="238"/>
      <c r="E27" s="238"/>
      <c r="F27" s="238"/>
      <c r="G27" s="265">
        <f>G23/(1+G25)</f>
        <v>562.91334781244109</v>
      </c>
      <c r="H27" s="265">
        <f>H23/(1+H25)^2</f>
        <v>636.17553572532574</v>
      </c>
      <c r="I27" s="265">
        <f>I23/(1+I25)^3</f>
        <v>591.32931236038417</v>
      </c>
      <c r="J27" s="265">
        <f>J23/(1+J25)^4</f>
        <v>553.96191972177007</v>
      </c>
      <c r="K27" s="265">
        <f>K23/(1+K25)^5</f>
        <v>524.71694918672233</v>
      </c>
      <c r="N27" s="240" t="s">
        <v>232</v>
      </c>
      <c r="P27" s="274">
        <v>0</v>
      </c>
      <c r="R27" s="240" t="s">
        <v>232</v>
      </c>
      <c r="S27" s="270">
        <f t="shared" si="6"/>
        <v>0</v>
      </c>
      <c r="V27" s="323" t="s">
        <v>263</v>
      </c>
      <c r="W27" s="323"/>
      <c r="X27" s="323"/>
      <c r="Y27" s="323"/>
      <c r="Z27" s="323"/>
      <c r="AA27" s="323"/>
    </row>
    <row r="28" spans="2:27" x14ac:dyDescent="0.35">
      <c r="N28" s="282" t="s">
        <v>233</v>
      </c>
      <c r="P28" s="270">
        <f>P23+P24-P25</f>
        <v>10992.115777549501</v>
      </c>
      <c r="R28" s="282" t="s">
        <v>233</v>
      </c>
      <c r="S28" s="270">
        <f>S23+S24-S25</f>
        <v>10875.474611429681</v>
      </c>
      <c r="W28" s="327" t="s">
        <v>264</v>
      </c>
      <c r="X28" s="327"/>
      <c r="Y28" s="327"/>
      <c r="Z28" s="327"/>
      <c r="AA28" s="327"/>
    </row>
    <row r="29" spans="2:27" x14ac:dyDescent="0.35">
      <c r="N29" s="240"/>
      <c r="P29" s="241"/>
      <c r="R29" s="240"/>
      <c r="S29" s="241"/>
      <c r="V29" s="262">
        <f>S19</f>
        <v>12044.328611429681</v>
      </c>
      <c r="W29" s="279">
        <f>X29-0.005</f>
        <v>1.4999999999999999E-2</v>
      </c>
      <c r="X29" s="279">
        <f>Y29-0.005</f>
        <v>0.02</v>
      </c>
      <c r="Y29" s="279">
        <f>S13</f>
        <v>2.5000000000000001E-2</v>
      </c>
      <c r="Z29" s="279">
        <f>Y29+0.005</f>
        <v>3.0000000000000002E-2</v>
      </c>
      <c r="AA29" s="279">
        <f>Z29+0.005</f>
        <v>3.5000000000000003E-2</v>
      </c>
    </row>
    <row r="30" spans="2:27" x14ac:dyDescent="0.35">
      <c r="D30" s="314" t="s">
        <v>4</v>
      </c>
      <c r="E30" s="314"/>
      <c r="F30" s="315"/>
      <c r="G30" s="316" t="s">
        <v>5</v>
      </c>
      <c r="H30" s="316"/>
      <c r="I30" s="316"/>
      <c r="J30" s="316"/>
      <c r="K30" s="316"/>
      <c r="N30" s="240" t="s">
        <v>234</v>
      </c>
      <c r="P30" s="296">
        <f>D55</f>
        <v>59.83</v>
      </c>
      <c r="R30" s="240" t="s">
        <v>234</v>
      </c>
      <c r="S30" s="254">
        <f>P30</f>
        <v>59.83</v>
      </c>
      <c r="V30" s="276">
        <f>V31-0.01</f>
        <v>6.3618125350127175E-2</v>
      </c>
      <c r="W30" s="266">
        <f t="dataTable" ref="W30:AA34" dt2D="1" dtr="1" r1="S13" r2="S14" ca="1"/>
        <v>14893.003319218042</v>
      </c>
      <c r="X30" s="266">
        <v>13718.041788621971</v>
      </c>
      <c r="Y30" s="266">
        <v>13718.041788621971</v>
      </c>
      <c r="Z30" s="266">
        <v>14893.003319218042</v>
      </c>
      <c r="AA30" s="266">
        <v>18155.68031650372</v>
      </c>
    </row>
    <row r="31" spans="2:27" x14ac:dyDescent="0.35">
      <c r="B31" s="234" t="s">
        <v>194</v>
      </c>
      <c r="C31" s="234"/>
      <c r="D31" s="234">
        <v>2022</v>
      </c>
      <c r="E31" s="244">
        <v>2023</v>
      </c>
      <c r="F31" s="245">
        <v>2024</v>
      </c>
      <c r="G31" s="234">
        <v>2025</v>
      </c>
      <c r="H31" s="234">
        <v>2026</v>
      </c>
      <c r="I31" s="234">
        <v>2027</v>
      </c>
      <c r="J31" s="234">
        <v>2028</v>
      </c>
      <c r="K31" s="234">
        <v>2029</v>
      </c>
      <c r="N31" s="240"/>
      <c r="P31" s="241"/>
      <c r="R31" s="240"/>
      <c r="S31" s="241"/>
      <c r="V31" s="276">
        <f>V32-0.01</f>
        <v>7.361812535012717E-2</v>
      </c>
      <c r="W31" s="266">
        <v>18738.664349491592</v>
      </c>
      <c r="X31" s="266">
        <v>16850.302212063205</v>
      </c>
      <c r="Y31" s="266">
        <v>16850.302212063205</v>
      </c>
      <c r="Z31" s="266">
        <v>18738.664349491592</v>
      </c>
      <c r="AA31" s="266">
        <v>24494.933525691809</v>
      </c>
    </row>
    <row r="32" spans="2:27" x14ac:dyDescent="0.35">
      <c r="B32" s="280" t="s">
        <v>195</v>
      </c>
      <c r="D32" s="250"/>
      <c r="E32" s="250"/>
      <c r="F32" s="263">
        <f>'Balance Sheet'!E9/1000</f>
        <v>257.65699999999998</v>
      </c>
      <c r="G32" s="263">
        <f>'Balance Sheet'!F9/1000</f>
        <v>314.24448812118004</v>
      </c>
      <c r="H32" s="263">
        <f>'Balance Sheet'!G9/1000</f>
        <v>322.88621154451255</v>
      </c>
      <c r="I32" s="263">
        <f>'Balance Sheet'!H9/1000</f>
        <v>330.9583668331253</v>
      </c>
      <c r="J32" s="263">
        <f>'Balance Sheet'!I9/1000</f>
        <v>338.40493008687059</v>
      </c>
      <c r="K32" s="263">
        <f>'Balance Sheet'!J9/1000</f>
        <v>345.17302868860804</v>
      </c>
      <c r="N32" s="249" t="s">
        <v>235</v>
      </c>
      <c r="O32" s="242"/>
      <c r="P32" s="272">
        <f>P28/P30</f>
        <v>183.72247664298013</v>
      </c>
      <c r="R32" s="249" t="s">
        <v>235</v>
      </c>
      <c r="S32" s="272">
        <f>S28/S30</f>
        <v>181.77293350208393</v>
      </c>
      <c r="U32" s="261" t="s">
        <v>260</v>
      </c>
      <c r="V32" s="276">
        <f>S14</f>
        <v>8.3618125350127165E-2</v>
      </c>
      <c r="W32" s="266">
        <v>18738.664349491592</v>
      </c>
      <c r="X32" s="266">
        <v>16850.302212063205</v>
      </c>
      <c r="Y32" s="266">
        <v>16850.302212063205</v>
      </c>
      <c r="Z32" s="266">
        <v>18738.664349491592</v>
      </c>
      <c r="AA32" s="266">
        <v>24494.933525691809</v>
      </c>
    </row>
    <row r="33" spans="2:27" x14ac:dyDescent="0.35">
      <c r="B33" s="280" t="s">
        <v>35</v>
      </c>
      <c r="D33" s="250"/>
      <c r="E33" s="250"/>
      <c r="F33" s="263">
        <f>'Balance Sheet'!E10/1000</f>
        <v>356.25400000000002</v>
      </c>
      <c r="G33" s="263">
        <f>'Balance Sheet'!F10/1000</f>
        <v>442.87745689316961</v>
      </c>
      <c r="H33" s="263">
        <f>'Balance Sheet'!G10/1000</f>
        <v>455.05658695773184</v>
      </c>
      <c r="I33" s="263">
        <f>'Balance Sheet'!H10/1000</f>
        <v>466.43300163167515</v>
      </c>
      <c r="J33" s="263">
        <f>'Balance Sheet'!I10/1000</f>
        <v>476.92774416838779</v>
      </c>
      <c r="K33" s="263">
        <f>'Balance Sheet'!J10/1000</f>
        <v>486.46629905175564</v>
      </c>
      <c r="N33" s="283" t="s">
        <v>236</v>
      </c>
      <c r="O33" s="239"/>
      <c r="P33" s="297">
        <f>(P32-D54)/D54</f>
        <v>1.063833707514942</v>
      </c>
      <c r="R33" s="283" t="s">
        <v>236</v>
      </c>
      <c r="S33" s="297">
        <f>-(1-S32/D54)</f>
        <v>1.0419336497650407</v>
      </c>
      <c r="V33" s="276">
        <f>V32+0.01</f>
        <v>9.361812535012716E-2</v>
      </c>
      <c r="W33" s="266">
        <v>14893.003319218042</v>
      </c>
      <c r="X33" s="266">
        <v>13718.041788621971</v>
      </c>
      <c r="Y33" s="266">
        <v>13718.041788621971</v>
      </c>
      <c r="Z33" s="266">
        <v>14893.003319218042</v>
      </c>
      <c r="AA33" s="266">
        <v>18155.68031650372</v>
      </c>
    </row>
    <row r="34" spans="2:27" x14ac:dyDescent="0.35">
      <c r="B34" s="280" t="s">
        <v>36</v>
      </c>
      <c r="D34" s="250"/>
      <c r="E34" s="250"/>
      <c r="F34" s="263">
        <f>'Balance Sheet'!E11/1000</f>
        <v>4.0460000000000003</v>
      </c>
      <c r="G34" s="263">
        <f>'Balance Sheet'!F11/1000</f>
        <v>4.0460000000000003</v>
      </c>
      <c r="H34" s="263">
        <f>'Balance Sheet'!G11/1000</f>
        <v>4.0460000000000003</v>
      </c>
      <c r="I34" s="263">
        <f>'Balance Sheet'!H11/1000</f>
        <v>4.0460000000000003</v>
      </c>
      <c r="J34" s="263">
        <f>'Balance Sheet'!I11/1000</f>
        <v>4.0460000000000003</v>
      </c>
      <c r="K34" s="263">
        <f>'Balance Sheet'!J11/1000</f>
        <v>4.0460000000000003</v>
      </c>
      <c r="V34" s="276">
        <f>V33+0.01</f>
        <v>0.10361812535012715</v>
      </c>
      <c r="W34" s="266">
        <v>10630.715452178341</v>
      </c>
      <c r="X34" s="266">
        <v>10067.923660269171</v>
      </c>
      <c r="Y34" s="266">
        <v>10067.923660269171</v>
      </c>
      <c r="Z34" s="266">
        <v>10630.715452178341</v>
      </c>
      <c r="AA34" s="266">
        <v>12044.328611429681</v>
      </c>
    </row>
    <row r="35" spans="2:27" x14ac:dyDescent="0.35">
      <c r="B35" s="280" t="s">
        <v>37</v>
      </c>
      <c r="D35" s="250"/>
      <c r="E35" s="250"/>
      <c r="F35" s="263">
        <f>'Balance Sheet'!E12/1000</f>
        <v>22.204000000000001</v>
      </c>
      <c r="G35" s="263">
        <f>'Balance Sheet'!F12/1000</f>
        <v>22.204000000000001</v>
      </c>
      <c r="H35" s="263">
        <f>'Balance Sheet'!G12/1000</f>
        <v>22.204000000000001</v>
      </c>
      <c r="I35" s="263">
        <f>'Balance Sheet'!H12/1000</f>
        <v>22.204000000000001</v>
      </c>
      <c r="J35" s="263">
        <f>'Balance Sheet'!I12/1000</f>
        <v>22.204000000000001</v>
      </c>
      <c r="K35" s="263">
        <f>'Balance Sheet'!J12/1000</f>
        <v>22.204000000000001</v>
      </c>
    </row>
    <row r="36" spans="2:27" x14ac:dyDescent="0.35">
      <c r="B36" s="280" t="s">
        <v>196</v>
      </c>
      <c r="D36" s="250"/>
      <c r="E36" s="250"/>
      <c r="F36" s="263">
        <f>'Balance Sheet'!E13/1000</f>
        <v>51.622999999999998</v>
      </c>
      <c r="G36" s="263">
        <f>'Balance Sheet'!F13/1000</f>
        <v>47.562952156629407</v>
      </c>
      <c r="H36" s="263">
        <f>'Balance Sheet'!G13/1000</f>
        <v>48.87093334093673</v>
      </c>
      <c r="I36" s="263">
        <f>'Balance Sheet'!H13/1000</f>
        <v>50.092706674460146</v>
      </c>
      <c r="J36" s="263">
        <f>'Balance Sheet'!I13/1000</f>
        <v>51.219792574635491</v>
      </c>
      <c r="K36" s="263">
        <f>'Balance Sheet'!J13/1000</f>
        <v>52.244188426128211</v>
      </c>
    </row>
    <row r="37" spans="2:27" x14ac:dyDescent="0.35">
      <c r="B37" s="236" t="s">
        <v>197</v>
      </c>
      <c r="C37" s="237"/>
      <c r="D37" s="251"/>
      <c r="E37" s="251"/>
      <c r="F37" s="265">
        <f t="shared" ref="F37:K37" si="7">SUM(F32:F36)</f>
        <v>691.78400000000011</v>
      </c>
      <c r="G37" s="265">
        <f t="shared" si="7"/>
        <v>830.93489717097907</v>
      </c>
      <c r="H37" s="265">
        <f t="shared" si="7"/>
        <v>853.06373184318113</v>
      </c>
      <c r="I37" s="265">
        <f t="shared" si="7"/>
        <v>873.73407513926065</v>
      </c>
      <c r="J37" s="265">
        <f t="shared" si="7"/>
        <v>892.80246682989377</v>
      </c>
      <c r="K37" s="265">
        <f t="shared" si="7"/>
        <v>910.13351616649186</v>
      </c>
      <c r="V37" s="323" t="s">
        <v>265</v>
      </c>
      <c r="W37" s="323"/>
      <c r="X37" s="323"/>
      <c r="Y37" s="323"/>
      <c r="Z37" s="323"/>
      <c r="AA37" s="323"/>
    </row>
    <row r="38" spans="2:27" x14ac:dyDescent="0.35">
      <c r="W38" s="327" t="s">
        <v>264</v>
      </c>
      <c r="X38" s="327"/>
      <c r="Y38" s="327"/>
      <c r="Z38" s="327"/>
      <c r="AA38" s="327"/>
    </row>
    <row r="39" spans="2:27" x14ac:dyDescent="0.35">
      <c r="B39" s="280" t="s">
        <v>198</v>
      </c>
      <c r="D39" s="235"/>
      <c r="E39" s="235"/>
      <c r="F39" s="263">
        <f>'Balance Sheet'!E28/1000</f>
        <v>264.90100000000001</v>
      </c>
      <c r="G39" s="263">
        <f>'Balance Sheet'!F28/1000</f>
        <v>276.08513577373685</v>
      </c>
      <c r="H39" s="263">
        <f>'Balance Sheet'!G28/1000</f>
        <v>283.67747700751477</v>
      </c>
      <c r="I39" s="263">
        <f>'Balance Sheet'!H28/1000</f>
        <v>290.76941393270255</v>
      </c>
      <c r="J39" s="263">
        <f>'Balance Sheet'!I28/1000</f>
        <v>297.3117257461883</v>
      </c>
      <c r="K39" s="263">
        <f>'Balance Sheet'!J28/1000</f>
        <v>303.25796026111215</v>
      </c>
      <c r="V39" s="262">
        <f>S32</f>
        <v>181.77293350208393</v>
      </c>
      <c r="W39" s="279">
        <f>X39-0.005</f>
        <v>1.4999999999999999E-2</v>
      </c>
      <c r="X39" s="279">
        <f>Y39-0.005</f>
        <v>0.02</v>
      </c>
      <c r="Y39" s="279">
        <f>S13</f>
        <v>2.5000000000000001E-2</v>
      </c>
      <c r="Z39" s="279">
        <f>Y39+0.005</f>
        <v>3.0000000000000002E-2</v>
      </c>
      <c r="AA39" s="279">
        <f>Z39+0.005</f>
        <v>3.5000000000000003E-2</v>
      </c>
    </row>
    <row r="40" spans="2:27" x14ac:dyDescent="0.35">
      <c r="B40" s="280" t="s">
        <v>51</v>
      </c>
      <c r="D40" s="235"/>
      <c r="E40" s="235"/>
      <c r="F40" s="263">
        <f>'Balance Sheet'!E29/1000</f>
        <v>298.06799999999998</v>
      </c>
      <c r="G40" s="263">
        <f>'Balance Sheet'!F29/1000</f>
        <v>300.35478536047907</v>
      </c>
      <c r="H40" s="263">
        <f>'Balance Sheet'!G29/1000</f>
        <v>308.6145419578923</v>
      </c>
      <c r="I40" s="263">
        <f>'Balance Sheet'!H29/1000</f>
        <v>316.32990550683962</v>
      </c>
      <c r="J40" s="263">
        <f>'Balance Sheet'!I29/1000</f>
        <v>323.44732838074344</v>
      </c>
      <c r="K40" s="263">
        <f>'Balance Sheet'!J29/1000</f>
        <v>329.91627494835836</v>
      </c>
      <c r="V40" s="276">
        <f>V41-0.01</f>
        <v>6.3618125350127175E-2</v>
      </c>
      <c r="W40" s="262">
        <f t="dataTable" ref="W40:AA44" dt2D="1" dtr="1" r1="S13" r2="S14" ca="1"/>
        <v>229.38574827374299</v>
      </c>
      <c r="X40" s="262">
        <v>209.74741415045918</v>
      </c>
      <c r="Y40" s="262">
        <v>209.74741415045918</v>
      </c>
      <c r="Z40" s="262">
        <v>229.38574827374299</v>
      </c>
      <c r="AA40" s="262">
        <v>283.91820686116864</v>
      </c>
    </row>
    <row r="41" spans="2:27" x14ac:dyDescent="0.35">
      <c r="B41" s="280" t="s">
        <v>52</v>
      </c>
      <c r="D41" s="235"/>
      <c r="E41" s="235"/>
      <c r="F41" s="263">
        <f>'Balance Sheet'!E30/1000</f>
        <v>108.688</v>
      </c>
      <c r="G41" s="263">
        <f>'Balance Sheet'!F30/1000</f>
        <v>96.101444990663765</v>
      </c>
      <c r="H41" s="263">
        <f>'Balance Sheet'!G30/1000</f>
        <v>98.744234727907028</v>
      </c>
      <c r="I41" s="263">
        <f>'Balance Sheet'!H30/1000</f>
        <v>101.2128405961047</v>
      </c>
      <c r="J41" s="263">
        <f>'Balance Sheet'!I30/1000</f>
        <v>103.49012950951705</v>
      </c>
      <c r="K41" s="263">
        <f>'Balance Sheet'!J30/1000</f>
        <v>105.5599320997074</v>
      </c>
      <c r="V41" s="276">
        <f>V42-0.01</f>
        <v>7.361812535012717E-2</v>
      </c>
      <c r="W41" s="262">
        <v>293.66221543525978</v>
      </c>
      <c r="X41" s="262">
        <v>262.10008711454464</v>
      </c>
      <c r="Y41" s="262">
        <v>262.10008711454464</v>
      </c>
      <c r="Z41" s="262">
        <v>293.66221543525978</v>
      </c>
      <c r="AA41" s="262">
        <v>389.87263121664398</v>
      </c>
    </row>
    <row r="42" spans="2:27" x14ac:dyDescent="0.35">
      <c r="B42" s="236" t="s">
        <v>199</v>
      </c>
      <c r="C42" s="237"/>
      <c r="D42" s="238"/>
      <c r="E42" s="238"/>
      <c r="F42" s="265">
        <f>SUM(F39:F41)</f>
        <v>671.65700000000004</v>
      </c>
      <c r="G42" s="265">
        <f t="shared" ref="G42:K42" si="8">SUM(G39:G41)</f>
        <v>672.54136612487969</v>
      </c>
      <c r="H42" s="265">
        <f t="shared" si="8"/>
        <v>691.03625369331417</v>
      </c>
      <c r="I42" s="265">
        <f t="shared" si="8"/>
        <v>708.3121600356468</v>
      </c>
      <c r="J42" s="265">
        <f t="shared" si="8"/>
        <v>724.24918363644872</v>
      </c>
      <c r="K42" s="265">
        <f t="shared" si="8"/>
        <v>738.73416730917779</v>
      </c>
      <c r="U42" s="261" t="s">
        <v>260</v>
      </c>
      <c r="V42" s="276">
        <f>S14</f>
        <v>8.3618125350127165E-2</v>
      </c>
      <c r="W42" s="262">
        <v>293.66221543525978</v>
      </c>
      <c r="X42" s="262">
        <v>262.10008711454464</v>
      </c>
      <c r="Y42" s="262">
        <v>262.10008711454464</v>
      </c>
      <c r="Z42" s="262">
        <v>293.66221543525978</v>
      </c>
      <c r="AA42" s="262">
        <v>389.87263121664398</v>
      </c>
    </row>
    <row r="43" spans="2:27" x14ac:dyDescent="0.35">
      <c r="V43" s="276">
        <f>V42+0.01</f>
        <v>9.361812535012716E-2</v>
      </c>
      <c r="W43" s="262">
        <v>229.38574827374299</v>
      </c>
      <c r="X43" s="262">
        <v>209.74741415045918</v>
      </c>
      <c r="Y43" s="262">
        <v>209.74741415045918</v>
      </c>
      <c r="Z43" s="262">
        <v>229.38574827374299</v>
      </c>
      <c r="AA43" s="262">
        <v>283.91820686116864</v>
      </c>
    </row>
    <row r="44" spans="2:27" x14ac:dyDescent="0.35">
      <c r="B44" s="280" t="s">
        <v>200</v>
      </c>
      <c r="D44" s="235"/>
      <c r="E44" s="235"/>
      <c r="F44" s="266">
        <f>F37-F42</f>
        <v>20.127000000000066</v>
      </c>
      <c r="G44" s="266">
        <f t="shared" ref="G44:K44" si="9">G37-G42</f>
        <v>158.39353104609938</v>
      </c>
      <c r="H44" s="266">
        <f t="shared" si="9"/>
        <v>162.02747814986697</v>
      </c>
      <c r="I44" s="266">
        <f t="shared" si="9"/>
        <v>165.42191510361386</v>
      </c>
      <c r="J44" s="266">
        <f t="shared" si="9"/>
        <v>168.55328319344505</v>
      </c>
      <c r="K44" s="266">
        <f t="shared" si="9"/>
        <v>171.39934885731407</v>
      </c>
      <c r="V44" s="276">
        <f>V43+0.01</f>
        <v>0.10361812535012715</v>
      </c>
      <c r="W44" s="262">
        <v>158.14577055287216</v>
      </c>
      <c r="X44" s="262">
        <v>148.73925556191162</v>
      </c>
      <c r="Y44" s="262">
        <v>148.73925556191162</v>
      </c>
      <c r="Z44" s="262">
        <v>158.14577055287216</v>
      </c>
      <c r="AA44" s="262">
        <v>181.77293350208393</v>
      </c>
    </row>
    <row r="45" spans="2:27" x14ac:dyDescent="0.35">
      <c r="B45" s="236" t="s">
        <v>201</v>
      </c>
      <c r="C45" s="237"/>
      <c r="D45" s="238"/>
      <c r="E45" s="238"/>
      <c r="F45" s="267"/>
      <c r="G45" s="265">
        <f>G44-F44</f>
        <v>138.26653104609932</v>
      </c>
      <c r="H45" s="265">
        <f t="shared" ref="H45:K45" si="10">H44-G44</f>
        <v>3.6339471037675821</v>
      </c>
      <c r="I45" s="265">
        <f t="shared" si="10"/>
        <v>3.3944369537468901</v>
      </c>
      <c r="J45" s="265">
        <f t="shared" si="10"/>
        <v>3.1313680898311986</v>
      </c>
      <c r="K45" s="265">
        <f t="shared" si="10"/>
        <v>2.8460656638690125</v>
      </c>
    </row>
    <row r="47" spans="2:27" x14ac:dyDescent="0.35">
      <c r="B47" s="317" t="s">
        <v>202</v>
      </c>
      <c r="C47" s="318"/>
      <c r="D47" s="319"/>
      <c r="E47" s="242"/>
      <c r="F47" s="318" t="s">
        <v>212</v>
      </c>
      <c r="G47" s="318"/>
    </row>
    <row r="48" spans="2:27" x14ac:dyDescent="0.35">
      <c r="B48" s="240" t="s">
        <v>203</v>
      </c>
      <c r="D48" s="253">
        <f>1.25*G12/D58</f>
        <v>0.21046611214052693</v>
      </c>
      <c r="F48" s="240" t="s">
        <v>213</v>
      </c>
      <c r="G48" s="293">
        <f>'Income Statement'!E12/(-'Income Statement'!E16)</f>
        <v>9.3526779177039092</v>
      </c>
    </row>
    <row r="49" spans="2:7" x14ac:dyDescent="0.35">
      <c r="B49" s="240" t="s">
        <v>204</v>
      </c>
      <c r="D49" s="255">
        <f>G52</f>
        <v>3.6419E-2</v>
      </c>
      <c r="F49" s="240" t="s">
        <v>214</v>
      </c>
      <c r="G49" s="292">
        <v>4.4999999999999997E-3</v>
      </c>
    </row>
    <row r="50" spans="2:7" x14ac:dyDescent="0.35">
      <c r="B50" s="240" t="s">
        <v>205</v>
      </c>
      <c r="D50" s="255">
        <f>G58</f>
        <v>9.6200000000000008E-2</v>
      </c>
      <c r="F50" s="240" t="s">
        <v>215</v>
      </c>
      <c r="G50" s="292">
        <v>4.1599999999999998E-2</v>
      </c>
    </row>
    <row r="51" spans="2:7" x14ac:dyDescent="0.35">
      <c r="B51" s="247" t="s">
        <v>206</v>
      </c>
      <c r="C51" s="239"/>
      <c r="D51" s="256">
        <f>D48*D49+D50*(1-D48)</f>
        <v>8.3618125350127165E-2</v>
      </c>
      <c r="F51" s="240" t="s">
        <v>30</v>
      </c>
      <c r="G51" s="294">
        <f>'Income Statement'!F35</f>
        <v>0.21</v>
      </c>
    </row>
    <row r="52" spans="2:7" x14ac:dyDescent="0.35">
      <c r="F52" s="247" t="s">
        <v>204</v>
      </c>
      <c r="G52" s="252">
        <f>(G50+G49)*(1-G51)</f>
        <v>3.6419E-2</v>
      </c>
    </row>
    <row r="53" spans="2:7" x14ac:dyDescent="0.35">
      <c r="B53" s="320" t="s">
        <v>207</v>
      </c>
      <c r="C53" s="321"/>
      <c r="D53" s="322"/>
    </row>
    <row r="54" spans="2:7" x14ac:dyDescent="0.35">
      <c r="B54" s="240" t="s">
        <v>208</v>
      </c>
      <c r="D54" s="287">
        <v>89.02</v>
      </c>
      <c r="F54" s="317" t="s">
        <v>205</v>
      </c>
      <c r="G54" s="319"/>
    </row>
    <row r="55" spans="2:7" x14ac:dyDescent="0.35">
      <c r="B55" s="240" t="s">
        <v>209</v>
      </c>
      <c r="D55" s="295">
        <f>59830/1000</f>
        <v>59.83</v>
      </c>
      <c r="F55" s="240" t="s">
        <v>215</v>
      </c>
      <c r="G55" s="289">
        <v>4.1599999999999998E-2</v>
      </c>
    </row>
    <row r="56" spans="2:7" x14ac:dyDescent="0.35">
      <c r="B56" s="240" t="s">
        <v>210</v>
      </c>
      <c r="D56" s="268">
        <f>D55*D54</f>
        <v>5326.0665999999992</v>
      </c>
      <c r="F56" s="240" t="s">
        <v>216</v>
      </c>
      <c r="G56" s="290">
        <v>0.91</v>
      </c>
    </row>
    <row r="57" spans="2:7" x14ac:dyDescent="0.35">
      <c r="B57" s="240" t="s">
        <v>211</v>
      </c>
      <c r="D57" s="288">
        <f>'Balance Sheet'!E37/1000</f>
        <v>1349.3389999999999</v>
      </c>
      <c r="F57" s="240" t="s">
        <v>217</v>
      </c>
      <c r="G57" s="291">
        <v>0.06</v>
      </c>
    </row>
    <row r="58" spans="2:7" x14ac:dyDescent="0.35">
      <c r="B58" s="247" t="s">
        <v>207</v>
      </c>
      <c r="C58" s="239"/>
      <c r="D58" s="269">
        <f>D57+D56</f>
        <v>6675.4055999999991</v>
      </c>
      <c r="E58" s="243"/>
      <c r="F58" s="247" t="s">
        <v>205</v>
      </c>
      <c r="G58" s="252">
        <f>G55+G56*(G57)</f>
        <v>9.6200000000000008E-2</v>
      </c>
    </row>
  </sheetData>
  <mergeCells count="23">
    <mergeCell ref="W38:AA38"/>
    <mergeCell ref="W18:AA18"/>
    <mergeCell ref="V4:AA4"/>
    <mergeCell ref="V27:AA27"/>
    <mergeCell ref="W28:AA28"/>
    <mergeCell ref="V37:AA37"/>
    <mergeCell ref="V7:AA7"/>
    <mergeCell ref="W8:AA8"/>
    <mergeCell ref="V17:AA17"/>
    <mergeCell ref="B53:D53"/>
    <mergeCell ref="F47:G47"/>
    <mergeCell ref="F54:G54"/>
    <mergeCell ref="N10:S10"/>
    <mergeCell ref="N11:P11"/>
    <mergeCell ref="R11:S11"/>
    <mergeCell ref="N21:S21"/>
    <mergeCell ref="N22:P22"/>
    <mergeCell ref="R22:S22"/>
    <mergeCell ref="D4:F4"/>
    <mergeCell ref="G4:K4"/>
    <mergeCell ref="D30:F30"/>
    <mergeCell ref="G30:K30"/>
    <mergeCell ref="B47:D47"/>
  </mergeCells>
  <conditionalFormatting sqref="W10:AA14">
    <cfRule type="colorScale" priority="4">
      <colorScale>
        <cfvo type="min"/>
        <cfvo type="percentile" val="50"/>
        <cfvo type="max"/>
        <color rgb="FFF8696B"/>
        <color rgb="FFFFEB84"/>
        <color rgb="FF63BE7B"/>
      </colorScale>
    </cfRule>
  </conditionalFormatting>
  <conditionalFormatting sqref="W20:AA24">
    <cfRule type="colorScale" priority="3">
      <colorScale>
        <cfvo type="min"/>
        <cfvo type="percentile" val="50"/>
        <cfvo type="max"/>
        <color rgb="FFF8696B"/>
        <color rgb="FFFFEB84"/>
        <color rgb="FF63BE7B"/>
      </colorScale>
    </cfRule>
  </conditionalFormatting>
  <conditionalFormatting sqref="W30:AA34">
    <cfRule type="colorScale" priority="2">
      <colorScale>
        <cfvo type="min"/>
        <cfvo type="percentile" val="50"/>
        <cfvo type="max"/>
        <color rgb="FFF8696B"/>
        <color rgb="FFFFEB84"/>
        <color rgb="FF63BE7B"/>
      </colorScale>
    </cfRule>
  </conditionalFormatting>
  <conditionalFormatting sqref="W40:AA44">
    <cfRule type="colorScale" priority="1">
      <colorScale>
        <cfvo type="min"/>
        <cfvo type="percentile" val="50"/>
        <cfvo type="max"/>
        <color rgb="FFF8696B"/>
        <color rgb="FFFFEB84"/>
        <color rgb="FF63BE7B"/>
      </colorScale>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Intro</vt:lpstr>
      <vt:lpstr>Op Model &gt;&gt;</vt:lpstr>
      <vt:lpstr>Income Statement</vt:lpstr>
      <vt:lpstr>Balance Sheet</vt:lpstr>
      <vt:lpstr>Statement of Cash Flows</vt:lpstr>
      <vt:lpstr>Debt Schedule</vt:lpstr>
      <vt:lpstr>Asset Schedule</vt:lpstr>
      <vt:lpstr>DCF&gt;&gt;&gt;</vt:lpstr>
      <vt:lpstr>DCF Valuation</vt:lpstr>
      <vt:lpstr>Competitors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Mehta, Kalen S</dc:creator>
  <cp:keywords/>
  <dc:description/>
  <cp:lastModifiedBy>Ventura, Nicholas Grey</cp:lastModifiedBy>
  <cp:revision/>
  <dcterms:created xsi:type="dcterms:W3CDTF">2025-08-22T03:01:16Z</dcterms:created>
  <dcterms:modified xsi:type="dcterms:W3CDTF">2025-10-11T22:31:35Z</dcterms:modified>
  <cp:category/>
  <cp:contentStatus/>
</cp:coreProperties>
</file>