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ndiana-my.sharepoint.com/personal/niventur_iu_edu/Documents/"/>
    </mc:Choice>
  </mc:AlternateContent>
  <xr:revisionPtr revIDLastSave="1346" documentId="8_{31A4BFAC-EDAC-49C7-A36B-FE2CEB151B7F}" xr6:coauthVersionLast="47" xr6:coauthVersionMax="47" xr10:uidLastSave="{508A2D3B-AA19-4E41-9D33-E0E8517A9986}"/>
  <bookViews>
    <workbookView xWindow="-110" yWindow="-110" windowWidth="22620" windowHeight="13500" firstSheet="11" activeTab="13" xr2:uid="{5E6DF5D1-1F7A-4BCF-84B3-179C25FC4C19}"/>
  </bookViews>
  <sheets>
    <sheet name="Intro" sheetId="1" r:id="rId1"/>
    <sheet name="Op Model &gt;&gt;" sheetId="2" r:id="rId2"/>
    <sheet name="Income Statement" sheetId="3" r:id="rId3"/>
    <sheet name="Balance Sheet" sheetId="4" r:id="rId4"/>
    <sheet name="Statement of Cash Flows" sheetId="5" r:id="rId5"/>
    <sheet name="Debt Schedule" sheetId="6" r:id="rId6"/>
    <sheet name="Asset Schedule" sheetId="8" r:id="rId7"/>
    <sheet name="LBO Model &gt;&gt;&gt;" sheetId="12" r:id="rId8"/>
    <sheet name="Transaction Structure" sheetId="13" r:id="rId9"/>
    <sheet name="Pro Forma Income Statement" sheetId="14" r:id="rId10"/>
    <sheet name="Pro Forma Balance Sheet" sheetId="15" r:id="rId11"/>
    <sheet name="Pro Forma Cash Flow Statement" sheetId="16" r:id="rId12"/>
    <sheet name="Pro Forma Debt Schedule" sheetId="17" r:id="rId13"/>
    <sheet name="Returns Analysis" sheetId="19" r:id="rId14"/>
  </sheets>
  <calcPr calcId="191028" iterate="1" iterateCount="1000"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9" l="1"/>
  <c r="I10" i="19" s="1"/>
  <c r="I11" i="19" s="1"/>
  <c r="I13" i="19" s="1"/>
  <c r="E28" i="19"/>
  <c r="E19" i="19"/>
  <c r="F16" i="19"/>
  <c r="G16" i="19"/>
  <c r="H16" i="19"/>
  <c r="I16" i="19"/>
  <c r="F17" i="19"/>
  <c r="G17" i="19"/>
  <c r="H17" i="19"/>
  <c r="I17" i="19"/>
  <c r="F18" i="19"/>
  <c r="G18" i="19"/>
  <c r="H18" i="19"/>
  <c r="I18" i="19"/>
  <c r="E17" i="19"/>
  <c r="E18" i="19"/>
  <c r="E16" i="19"/>
  <c r="E15" i="19"/>
  <c r="E14" i="19"/>
  <c r="F9" i="19"/>
  <c r="G9" i="19"/>
  <c r="H9" i="19"/>
  <c r="I9" i="19"/>
  <c r="E9" i="19"/>
  <c r="F8" i="16"/>
  <c r="G8" i="16"/>
  <c r="H8" i="16"/>
  <c r="I8" i="16"/>
  <c r="E8" i="16"/>
  <c r="E9" i="16" s="1"/>
  <c r="F7" i="16"/>
  <c r="G7" i="16"/>
  <c r="H7" i="16"/>
  <c r="I7" i="16"/>
  <c r="E7" i="16"/>
  <c r="E67" i="17"/>
  <c r="F20" i="14" s="1"/>
  <c r="E13" i="17"/>
  <c r="E10" i="17"/>
  <c r="F35" i="16"/>
  <c r="G35" i="16"/>
  <c r="H35" i="16"/>
  <c r="I35" i="16"/>
  <c r="E35" i="16"/>
  <c r="F34" i="16"/>
  <c r="G34" i="16"/>
  <c r="H34" i="16"/>
  <c r="I34" i="16"/>
  <c r="E34" i="16"/>
  <c r="F33" i="16"/>
  <c r="G33" i="16"/>
  <c r="H33" i="16"/>
  <c r="I33" i="16"/>
  <c r="E33" i="16"/>
  <c r="I36" i="15"/>
  <c r="J36" i="15"/>
  <c r="K36" i="15"/>
  <c r="L36" i="15"/>
  <c r="H36" i="15"/>
  <c r="I35" i="15"/>
  <c r="J35" i="15"/>
  <c r="K35" i="15"/>
  <c r="L35" i="15"/>
  <c r="H35" i="15"/>
  <c r="I34" i="15"/>
  <c r="J34" i="15"/>
  <c r="K34" i="15"/>
  <c r="L34" i="15"/>
  <c r="H34" i="15"/>
  <c r="G32" i="15"/>
  <c r="G21" i="14"/>
  <c r="H21" i="14"/>
  <c r="I21" i="14"/>
  <c r="J21" i="14"/>
  <c r="F21" i="14"/>
  <c r="G20" i="14"/>
  <c r="H20" i="14"/>
  <c r="I20" i="14"/>
  <c r="J20" i="14"/>
  <c r="G19" i="14"/>
  <c r="H19" i="14"/>
  <c r="I19" i="14"/>
  <c r="J19" i="14"/>
  <c r="F19" i="14"/>
  <c r="E38" i="17"/>
  <c r="E9" i="17"/>
  <c r="D20" i="17"/>
  <c r="E37" i="17"/>
  <c r="F55" i="17"/>
  <c r="G55" i="17"/>
  <c r="H55" i="17"/>
  <c r="I55" i="17"/>
  <c r="E55" i="17"/>
  <c r="G50" i="17"/>
  <c r="F50" i="17"/>
  <c r="F53" i="17"/>
  <c r="G53" i="17"/>
  <c r="H50" i="17" s="1"/>
  <c r="H53" i="17" s="1"/>
  <c r="I50" i="17" s="1"/>
  <c r="I53" i="17" s="1"/>
  <c r="E53" i="17"/>
  <c r="E50" i="17"/>
  <c r="F67" i="17"/>
  <c r="G67" i="17"/>
  <c r="H67" i="17"/>
  <c r="I67" i="17"/>
  <c r="G62" i="17"/>
  <c r="F62" i="17"/>
  <c r="F65" i="17" s="1"/>
  <c r="G65" i="17"/>
  <c r="H62" i="17" s="1"/>
  <c r="H65" i="17" s="1"/>
  <c r="I62" i="17" s="1"/>
  <c r="I65" i="17" s="1"/>
  <c r="E65" i="17"/>
  <c r="E62" i="17"/>
  <c r="F79" i="17"/>
  <c r="G79" i="17"/>
  <c r="H79" i="17"/>
  <c r="I79" i="17"/>
  <c r="E79" i="17"/>
  <c r="G74" i="17"/>
  <c r="F74" i="17"/>
  <c r="F77" i="17"/>
  <c r="G77" i="17"/>
  <c r="H74" i="17" s="1"/>
  <c r="H77" i="17" s="1"/>
  <c r="I74" i="17" s="1"/>
  <c r="I77" i="17" s="1"/>
  <c r="E77" i="17"/>
  <c r="E74" i="17"/>
  <c r="D70" i="17"/>
  <c r="D58" i="17"/>
  <c r="D45" i="17"/>
  <c r="D32" i="17"/>
  <c r="F13" i="17"/>
  <c r="G13" i="17"/>
  <c r="H13" i="17"/>
  <c r="I13" i="17"/>
  <c r="F7" i="17"/>
  <c r="G7" i="17"/>
  <c r="H7" i="17"/>
  <c r="I7" i="17"/>
  <c r="E7" i="17"/>
  <c r="E39" i="16"/>
  <c r="F29" i="16"/>
  <c r="G29" i="16"/>
  <c r="H29" i="16"/>
  <c r="I29" i="16"/>
  <c r="E29" i="16"/>
  <c r="F27" i="16"/>
  <c r="G27" i="16"/>
  <c r="H27" i="16"/>
  <c r="I27" i="16"/>
  <c r="E27" i="16"/>
  <c r="F26" i="16"/>
  <c r="G26" i="16"/>
  <c r="H26" i="16"/>
  <c r="I26" i="16"/>
  <c r="E26" i="16"/>
  <c r="F25" i="16"/>
  <c r="G25" i="16"/>
  <c r="H25" i="16"/>
  <c r="I25" i="16"/>
  <c r="E25" i="16"/>
  <c r="F22" i="16"/>
  <c r="G22" i="16"/>
  <c r="H22" i="16"/>
  <c r="I22" i="16"/>
  <c r="E22" i="16"/>
  <c r="F21" i="16"/>
  <c r="G21" i="16"/>
  <c r="H21" i="16"/>
  <c r="I21" i="16"/>
  <c r="E21" i="16"/>
  <c r="F20" i="16"/>
  <c r="G20" i="16"/>
  <c r="H20" i="16"/>
  <c r="I20" i="16"/>
  <c r="F19" i="16"/>
  <c r="G19" i="16"/>
  <c r="H19" i="16"/>
  <c r="I19" i="16"/>
  <c r="F18" i="16"/>
  <c r="G18" i="16"/>
  <c r="H18" i="16"/>
  <c r="I18" i="16"/>
  <c r="F17" i="16"/>
  <c r="G17" i="16"/>
  <c r="H17" i="16"/>
  <c r="I17" i="16"/>
  <c r="E17" i="16"/>
  <c r="E18" i="16"/>
  <c r="E19" i="16"/>
  <c r="E20" i="16"/>
  <c r="F16" i="16"/>
  <c r="G16" i="16"/>
  <c r="H16" i="16"/>
  <c r="I16" i="16"/>
  <c r="E16" i="16"/>
  <c r="F15" i="16"/>
  <c r="G15" i="16"/>
  <c r="H15" i="16"/>
  <c r="I15" i="16"/>
  <c r="E15" i="16"/>
  <c r="F10" i="16"/>
  <c r="G10" i="16"/>
  <c r="H10" i="16"/>
  <c r="I10" i="16"/>
  <c r="F11" i="16"/>
  <c r="G11" i="16"/>
  <c r="H11" i="16"/>
  <c r="I11" i="16"/>
  <c r="F12" i="16"/>
  <c r="G12" i="16"/>
  <c r="H12" i="16"/>
  <c r="I12" i="16"/>
  <c r="F13" i="16"/>
  <c r="G13" i="16"/>
  <c r="H13" i="16"/>
  <c r="I13" i="16"/>
  <c r="F14" i="16"/>
  <c r="G14" i="16"/>
  <c r="H14" i="16"/>
  <c r="I14" i="16"/>
  <c r="E11" i="16"/>
  <c r="E12" i="16"/>
  <c r="E13" i="16"/>
  <c r="E14" i="16"/>
  <c r="E10" i="16"/>
  <c r="F9" i="16"/>
  <c r="G9" i="16"/>
  <c r="H9" i="16"/>
  <c r="I9" i="16"/>
  <c r="G14" i="14"/>
  <c r="H14" i="14"/>
  <c r="I14" i="14"/>
  <c r="J14" i="14"/>
  <c r="F14" i="14"/>
  <c r="G13" i="14"/>
  <c r="H13" i="14"/>
  <c r="I13" i="14"/>
  <c r="J13" i="14"/>
  <c r="F13" i="14"/>
  <c r="G11" i="14"/>
  <c r="H11" i="14"/>
  <c r="I11" i="14"/>
  <c r="J11" i="14"/>
  <c r="F11" i="14"/>
  <c r="G10" i="14"/>
  <c r="H10" i="14"/>
  <c r="I10" i="14"/>
  <c r="J10" i="14"/>
  <c r="F10" i="14"/>
  <c r="G8" i="14"/>
  <c r="H8" i="14"/>
  <c r="I8" i="14"/>
  <c r="J8" i="14"/>
  <c r="F8" i="14"/>
  <c r="G7" i="14"/>
  <c r="H7" i="14"/>
  <c r="I7" i="14"/>
  <c r="J7" i="14"/>
  <c r="F7" i="14"/>
  <c r="I10" i="15"/>
  <c r="J10" i="15"/>
  <c r="K10" i="15"/>
  <c r="L10" i="15"/>
  <c r="H10" i="15"/>
  <c r="G38" i="15"/>
  <c r="G43" i="15" s="1"/>
  <c r="G44" i="15" s="1"/>
  <c r="G13" i="15"/>
  <c r="G30" i="15"/>
  <c r="E51" i="15"/>
  <c r="F51" i="15"/>
  <c r="I41" i="15"/>
  <c r="J41" i="15"/>
  <c r="K41" i="15"/>
  <c r="L41" i="15"/>
  <c r="I42" i="15"/>
  <c r="J42" i="15"/>
  <c r="K42" i="15"/>
  <c r="L42" i="15"/>
  <c r="H42" i="15"/>
  <c r="H41" i="15"/>
  <c r="I40" i="15"/>
  <c r="J40" i="15"/>
  <c r="K40" i="15"/>
  <c r="L40" i="15"/>
  <c r="H40" i="15"/>
  <c r="I39" i="15"/>
  <c r="J39" i="15"/>
  <c r="K39" i="15"/>
  <c r="L39" i="15"/>
  <c r="H39" i="15"/>
  <c r="I37" i="15"/>
  <c r="J37" i="15"/>
  <c r="K37" i="15"/>
  <c r="L37" i="15"/>
  <c r="H37" i="15"/>
  <c r="I30" i="15"/>
  <c r="J30" i="15"/>
  <c r="K30" i="15"/>
  <c r="L30" i="15"/>
  <c r="H30" i="15"/>
  <c r="I25" i="15"/>
  <c r="J25" i="15"/>
  <c r="K25" i="15"/>
  <c r="L25" i="15"/>
  <c r="I26" i="15"/>
  <c r="J26" i="15"/>
  <c r="K26" i="15"/>
  <c r="L26" i="15"/>
  <c r="I27" i="15"/>
  <c r="J27" i="15"/>
  <c r="K27" i="15"/>
  <c r="L27" i="15"/>
  <c r="I28" i="15"/>
  <c r="J28" i="15"/>
  <c r="K28" i="15"/>
  <c r="L28" i="15"/>
  <c r="I29" i="15"/>
  <c r="J29" i="15"/>
  <c r="K29" i="15"/>
  <c r="L29" i="15"/>
  <c r="H26" i="15"/>
  <c r="H27" i="15"/>
  <c r="H28" i="15"/>
  <c r="H29" i="15"/>
  <c r="H25" i="15"/>
  <c r="I18" i="15"/>
  <c r="J18" i="15"/>
  <c r="K18" i="15"/>
  <c r="L18" i="15"/>
  <c r="I19" i="15"/>
  <c r="J19" i="15"/>
  <c r="K19" i="15"/>
  <c r="L19" i="15"/>
  <c r="I20" i="15"/>
  <c r="J20" i="15"/>
  <c r="K20" i="15"/>
  <c r="L20" i="15"/>
  <c r="I21" i="15"/>
  <c r="J21" i="15"/>
  <c r="K21" i="15"/>
  <c r="L21" i="15"/>
  <c r="H19" i="15"/>
  <c r="H20" i="15"/>
  <c r="H21" i="15"/>
  <c r="H18" i="15"/>
  <c r="I16" i="15"/>
  <c r="J16" i="15"/>
  <c r="K16" i="15"/>
  <c r="L16" i="15"/>
  <c r="H16" i="15"/>
  <c r="I15" i="15"/>
  <c r="J15" i="15"/>
  <c r="K15" i="15"/>
  <c r="L15" i="15"/>
  <c r="H15" i="15"/>
  <c r="I8" i="15"/>
  <c r="J8" i="15"/>
  <c r="K8" i="15"/>
  <c r="L8" i="15"/>
  <c r="H8" i="15"/>
  <c r="I9" i="15"/>
  <c r="J9" i="15"/>
  <c r="K9" i="15"/>
  <c r="L9" i="15"/>
  <c r="H9" i="15"/>
  <c r="I12" i="15"/>
  <c r="J12" i="15"/>
  <c r="K12" i="15"/>
  <c r="L12" i="15"/>
  <c r="H12" i="15"/>
  <c r="I11" i="15"/>
  <c r="J11" i="15"/>
  <c r="K11" i="15"/>
  <c r="L11" i="15"/>
  <c r="H11" i="15"/>
  <c r="H10" i="19" l="1"/>
  <c r="H11" i="19" s="1"/>
  <c r="H13" i="19" s="1"/>
  <c r="G10" i="19"/>
  <c r="G11" i="19" s="1"/>
  <c r="G13" i="19" s="1"/>
  <c r="F10" i="19"/>
  <c r="F11" i="19" s="1"/>
  <c r="F13" i="19" s="1"/>
  <c r="E10" i="19"/>
  <c r="E11" i="19" s="1"/>
  <c r="E13" i="19" s="1"/>
  <c r="G8" i="15"/>
  <c r="G9" i="15"/>
  <c r="G10" i="15"/>
  <c r="G11" i="15"/>
  <c r="G12" i="15"/>
  <c r="G15" i="15"/>
  <c r="G16" i="15"/>
  <c r="G18" i="15"/>
  <c r="G19" i="15"/>
  <c r="G20" i="15"/>
  <c r="G21" i="15"/>
  <c r="G25" i="15"/>
  <c r="G26" i="15"/>
  <c r="G27" i="15"/>
  <c r="G28" i="15"/>
  <c r="G29" i="15"/>
  <c r="G33" i="15"/>
  <c r="G34" i="15"/>
  <c r="G35" i="15"/>
  <c r="G36" i="15"/>
  <c r="G37" i="15"/>
  <c r="G39" i="15"/>
  <c r="G40" i="15"/>
  <c r="G41" i="15"/>
  <c r="G42" i="15"/>
  <c r="G48" i="15"/>
  <c r="G50" i="15"/>
  <c r="G7" i="15"/>
  <c r="F46" i="15"/>
  <c r="F37" i="15"/>
  <c r="F7" i="15"/>
  <c r="E33" i="15"/>
  <c r="E34" i="15"/>
  <c r="E35" i="15"/>
  <c r="E36" i="15"/>
  <c r="D47" i="15"/>
  <c r="D46" i="15"/>
  <c r="D42" i="15"/>
  <c r="D41" i="15"/>
  <c r="D40" i="15"/>
  <c r="D39" i="15"/>
  <c r="D38" i="15"/>
  <c r="D37" i="15"/>
  <c r="D30" i="15"/>
  <c r="D26" i="15"/>
  <c r="D27" i="15"/>
  <c r="D28" i="15"/>
  <c r="D29" i="15"/>
  <c r="D25" i="15"/>
  <c r="D23" i="15"/>
  <c r="D22" i="15"/>
  <c r="D16" i="15"/>
  <c r="D17" i="15"/>
  <c r="D18" i="15"/>
  <c r="D19" i="15"/>
  <c r="D20" i="15"/>
  <c r="D21" i="15"/>
  <c r="D15" i="15"/>
  <c r="D13" i="15"/>
  <c r="D8" i="15"/>
  <c r="D9" i="15"/>
  <c r="D10" i="15"/>
  <c r="D11" i="15"/>
  <c r="D12" i="15"/>
  <c r="D7" i="15"/>
  <c r="D43" i="15" l="1"/>
  <c r="D44" i="15" s="1"/>
  <c r="D49" i="15" s="1"/>
  <c r="D51" i="15" s="1"/>
  <c r="G17" i="13"/>
  <c r="G20" i="13"/>
  <c r="F11" i="13"/>
  <c r="F10" i="13"/>
  <c r="F12" i="13"/>
  <c r="F13" i="13"/>
  <c r="G15" i="13"/>
  <c r="F15" i="13"/>
  <c r="G24" i="13"/>
  <c r="M26" i="13"/>
  <c r="M14" i="13" l="1"/>
  <c r="M13" i="13"/>
  <c r="M11" i="13"/>
  <c r="M17" i="13" s="1"/>
  <c r="M10" i="13"/>
  <c r="P20" i="13"/>
  <c r="G19" i="13" l="1"/>
  <c r="G22" i="13" s="1"/>
  <c r="F14" i="13" s="1"/>
  <c r="M19" i="13"/>
  <c r="M25" i="13" s="1"/>
  <c r="M27" i="13" s="1"/>
  <c r="E17" i="15" s="1"/>
  <c r="G17" i="15" s="1"/>
  <c r="F17" i="3"/>
  <c r="G8" i="6"/>
  <c r="H17" i="15" l="1"/>
  <c r="G22" i="15"/>
  <c r="G23" i="15" s="1"/>
  <c r="D8" i="19"/>
  <c r="E46" i="15"/>
  <c r="G46" i="15" s="1"/>
  <c r="G47" i="15" s="1"/>
  <c r="G14" i="13"/>
  <c r="F16" i="13"/>
  <c r="G16" i="13" s="1"/>
  <c r="B1" i="19"/>
  <c r="B1" i="17"/>
  <c r="B1" i="16"/>
  <c r="B1" i="15"/>
  <c r="B1" i="14"/>
  <c r="B1" i="13"/>
  <c r="I17" i="15" l="1"/>
  <c r="H22" i="15"/>
  <c r="G69" i="6"/>
  <c r="G63" i="6"/>
  <c r="J17" i="15" l="1"/>
  <c r="I22" i="15"/>
  <c r="G30" i="6"/>
  <c r="C57" i="6"/>
  <c r="C24" i="6"/>
  <c r="C39" i="6" s="1"/>
  <c r="H63" i="6"/>
  <c r="I63" i="6" s="1"/>
  <c r="J63" i="6" s="1"/>
  <c r="C41" i="6"/>
  <c r="G91" i="6"/>
  <c r="H91" i="6" s="1"/>
  <c r="I91" i="6" s="1"/>
  <c r="J91" i="6" s="1"/>
  <c r="K91" i="6" s="1"/>
  <c r="G90" i="6"/>
  <c r="F38" i="4"/>
  <c r="F36" i="4"/>
  <c r="F35" i="4"/>
  <c r="F32" i="4"/>
  <c r="F31" i="4"/>
  <c r="F11" i="4"/>
  <c r="C24" i="8"/>
  <c r="C23" i="8"/>
  <c r="C15" i="8"/>
  <c r="D13" i="8"/>
  <c r="D15" i="8" s="1"/>
  <c r="H106" i="6"/>
  <c r="I106" i="6" s="1"/>
  <c r="J106" i="6" s="1"/>
  <c r="K106" i="6" s="1"/>
  <c r="G79" i="6"/>
  <c r="K17" i="15" l="1"/>
  <c r="J22" i="15"/>
  <c r="H79" i="6"/>
  <c r="I79" i="6" s="1"/>
  <c r="J79" i="6" s="1"/>
  <c r="L17" i="15" l="1"/>
  <c r="L22" i="15" s="1"/>
  <c r="K22" i="15"/>
  <c r="C8" i="4"/>
  <c r="D8" i="4"/>
  <c r="C32" i="3"/>
  <c r="D32" i="3"/>
  <c r="E32" i="3"/>
  <c r="G67" i="6"/>
  <c r="G97" i="6" s="1"/>
  <c r="F33" i="5" s="1"/>
  <c r="H67" i="6"/>
  <c r="H97" i="6" s="1"/>
  <c r="G33" i="5" s="1"/>
  <c r="I67" i="6"/>
  <c r="I97" i="6" s="1"/>
  <c r="H33" i="5" s="1"/>
  <c r="J67" i="6"/>
  <c r="J97" i="6" s="1"/>
  <c r="I33" i="5" s="1"/>
  <c r="K67" i="6"/>
  <c r="K97" i="6" s="1"/>
  <c r="J33" i="5" s="1"/>
  <c r="F18" i="4"/>
  <c r="G18" i="4" s="1"/>
  <c r="H18" i="4" s="1"/>
  <c r="I18" i="4" s="1"/>
  <c r="J18" i="4" s="1"/>
  <c r="G7" i="6"/>
  <c r="D23" i="8"/>
  <c r="F23" i="8" s="1"/>
  <c r="E34" i="3"/>
  <c r="F13" i="8"/>
  <c r="D24" i="8"/>
  <c r="F24" i="8" s="1"/>
  <c r="E13" i="8"/>
  <c r="E15" i="8" s="1"/>
  <c r="E24" i="8" s="1"/>
  <c r="D21" i="8"/>
  <c r="E21" i="8"/>
  <c r="C21" i="8"/>
  <c r="D20" i="8"/>
  <c r="E20" i="8"/>
  <c r="C20" i="8"/>
  <c r="F20" i="8" s="1"/>
  <c r="D11" i="8"/>
  <c r="D10" i="8" s="1"/>
  <c r="D22" i="8" s="1"/>
  <c r="E11" i="8"/>
  <c r="E10" i="8" s="1"/>
  <c r="E22" i="8" s="1"/>
  <c r="C11" i="8"/>
  <c r="C10" i="8" s="1"/>
  <c r="C22" i="8" s="1"/>
  <c r="F38" i="5"/>
  <c r="D75" i="4"/>
  <c r="E75" i="4"/>
  <c r="F75" i="4" s="1"/>
  <c r="C75" i="4"/>
  <c r="D65" i="4"/>
  <c r="E65" i="4"/>
  <c r="F65" i="4" s="1"/>
  <c r="G65" i="4" s="1"/>
  <c r="C65" i="4"/>
  <c r="F49" i="4"/>
  <c r="G49" i="4" s="1"/>
  <c r="H49" i="4" s="1"/>
  <c r="I49" i="4" s="1"/>
  <c r="J49" i="4" s="1"/>
  <c r="F47" i="4"/>
  <c r="G47" i="4" s="1"/>
  <c r="H47" i="4" s="1"/>
  <c r="I47" i="4" s="1"/>
  <c r="J47" i="4" s="1"/>
  <c r="F45" i="4"/>
  <c r="G45" i="4" s="1"/>
  <c r="H45" i="4" s="1"/>
  <c r="I45" i="4" s="1"/>
  <c r="J45" i="4" s="1"/>
  <c r="G31" i="4"/>
  <c r="H31" i="4" s="1"/>
  <c r="F77" i="4"/>
  <c r="G77" i="4" s="1"/>
  <c r="D60" i="4"/>
  <c r="E60" i="4"/>
  <c r="D61" i="4"/>
  <c r="E61" i="4"/>
  <c r="D62" i="4"/>
  <c r="E62" i="4"/>
  <c r="F62" i="4" s="1"/>
  <c r="D63" i="4"/>
  <c r="E63" i="4"/>
  <c r="F63" i="4" s="1"/>
  <c r="D64" i="4"/>
  <c r="E64" i="4"/>
  <c r="D66" i="4"/>
  <c r="E66" i="4"/>
  <c r="F66" i="4" s="1"/>
  <c r="D67" i="4"/>
  <c r="E67" i="4"/>
  <c r="F67" i="4" s="1"/>
  <c r="G67" i="4" s="1"/>
  <c r="D68" i="4"/>
  <c r="E68" i="4"/>
  <c r="D71" i="4"/>
  <c r="E71" i="4"/>
  <c r="D72" i="4"/>
  <c r="E72" i="4"/>
  <c r="D73" i="4"/>
  <c r="E73" i="4"/>
  <c r="D74" i="4"/>
  <c r="E74" i="4"/>
  <c r="F74" i="4" s="1"/>
  <c r="G74" i="4" s="1"/>
  <c r="D76" i="4"/>
  <c r="E76" i="4"/>
  <c r="F76" i="4" s="1"/>
  <c r="G76" i="4" s="1"/>
  <c r="D77" i="4"/>
  <c r="E77" i="4"/>
  <c r="D78" i="4"/>
  <c r="E78" i="4"/>
  <c r="C78" i="4"/>
  <c r="C77" i="4"/>
  <c r="C76" i="4"/>
  <c r="B1" i="8"/>
  <c r="C74" i="4"/>
  <c r="C73" i="4"/>
  <c r="C72" i="4"/>
  <c r="J72" i="4" s="1"/>
  <c r="C71" i="4"/>
  <c r="C68" i="4"/>
  <c r="C67" i="4"/>
  <c r="C66" i="4"/>
  <c r="C64" i="4"/>
  <c r="C63" i="4"/>
  <c r="C62" i="4"/>
  <c r="G32" i="3" l="1"/>
  <c r="F78" i="4"/>
  <c r="G78" i="4"/>
  <c r="J68" i="4"/>
  <c r="H32" i="3"/>
  <c r="F32" i="3"/>
  <c r="H71" i="4"/>
  <c r="F72" i="4"/>
  <c r="H64" i="4"/>
  <c r="F68" i="4"/>
  <c r="J32" i="3"/>
  <c r="F73" i="4"/>
  <c r="F71" i="4"/>
  <c r="I32" i="3"/>
  <c r="H66" i="6"/>
  <c r="H68" i="6" s="1"/>
  <c r="G68" i="6"/>
  <c r="F21" i="8"/>
  <c r="G21" i="8" s="1"/>
  <c r="H21" i="8" s="1"/>
  <c r="I21" i="8" s="1"/>
  <c r="J21" i="8" s="1"/>
  <c r="I71" i="4"/>
  <c r="J71" i="4"/>
  <c r="F64" i="4"/>
  <c r="G71" i="4"/>
  <c r="G72" i="4"/>
  <c r="H72" i="4"/>
  <c r="J78" i="4"/>
  <c r="H78" i="4"/>
  <c r="I73" i="4"/>
  <c r="I72" i="4"/>
  <c r="H74" i="4"/>
  <c r="G32" i="4"/>
  <c r="H77" i="4"/>
  <c r="G38" i="4"/>
  <c r="G66" i="4"/>
  <c r="F20" i="4"/>
  <c r="H67" i="4"/>
  <c r="G21" i="4"/>
  <c r="H76" i="4"/>
  <c r="G36" i="4"/>
  <c r="H65" i="4"/>
  <c r="G19" i="4"/>
  <c r="F12" i="4"/>
  <c r="G63" i="4"/>
  <c r="G62" i="4"/>
  <c r="G73" i="4"/>
  <c r="H73" i="4"/>
  <c r="F21" i="4"/>
  <c r="J73" i="4"/>
  <c r="G64" i="4"/>
  <c r="G75" i="4"/>
  <c r="I64" i="4"/>
  <c r="J64" i="4"/>
  <c r="I78" i="4"/>
  <c r="H68" i="4"/>
  <c r="I68" i="4"/>
  <c r="F19" i="4"/>
  <c r="G68" i="4"/>
  <c r="J20" i="8"/>
  <c r="I20" i="8"/>
  <c r="H20" i="8"/>
  <c r="G20" i="8"/>
  <c r="G22" i="8"/>
  <c r="F22" i="8"/>
  <c r="H22" i="8"/>
  <c r="I22" i="8"/>
  <c r="J22" i="8"/>
  <c r="F7" i="8"/>
  <c r="E23" i="8"/>
  <c r="H23" i="8" s="1"/>
  <c r="I24" i="8"/>
  <c r="G24" i="8"/>
  <c r="J24" i="8"/>
  <c r="F15" i="8"/>
  <c r="F28" i="5" s="1"/>
  <c r="H24" i="8"/>
  <c r="F14" i="8"/>
  <c r="F16" i="8" s="1"/>
  <c r="I23" i="8"/>
  <c r="G23" i="8"/>
  <c r="I31" i="4"/>
  <c r="I66" i="6" l="1"/>
  <c r="J66" i="6" s="1"/>
  <c r="F9" i="8"/>
  <c r="F14" i="5"/>
  <c r="I67" i="4"/>
  <c r="H21" i="4"/>
  <c r="H75" i="4"/>
  <c r="G35" i="4"/>
  <c r="F13" i="5"/>
  <c r="H63" i="4"/>
  <c r="G12" i="4"/>
  <c r="I76" i="4"/>
  <c r="H36" i="4"/>
  <c r="H62" i="4"/>
  <c r="G11" i="4"/>
  <c r="H19" i="4"/>
  <c r="I65" i="4"/>
  <c r="I74" i="4"/>
  <c r="H32" i="4"/>
  <c r="F8" i="8"/>
  <c r="F8" i="5" s="1"/>
  <c r="F10" i="8"/>
  <c r="F27" i="5" s="1"/>
  <c r="H66" i="4"/>
  <c r="G20" i="4"/>
  <c r="I77" i="4"/>
  <c r="H38" i="4"/>
  <c r="J23" i="8"/>
  <c r="F9" i="5"/>
  <c r="F26" i="5"/>
  <c r="J31" i="4"/>
  <c r="I68" i="6" l="1"/>
  <c r="K66" i="6"/>
  <c r="K68" i="6" s="1"/>
  <c r="J68" i="6"/>
  <c r="F29" i="5"/>
  <c r="G10" i="6" s="1"/>
  <c r="F11" i="8"/>
  <c r="H35" i="4"/>
  <c r="I75" i="4"/>
  <c r="J65" i="4"/>
  <c r="J19" i="4" s="1"/>
  <c r="I19" i="4"/>
  <c r="I62" i="4"/>
  <c r="H11" i="4"/>
  <c r="H13" i="5" s="1"/>
  <c r="J76" i="4"/>
  <c r="J36" i="4" s="1"/>
  <c r="I36" i="4"/>
  <c r="J74" i="4"/>
  <c r="J32" i="4" s="1"/>
  <c r="I32" i="4"/>
  <c r="F10" i="5"/>
  <c r="J77" i="4"/>
  <c r="J38" i="4" s="1"/>
  <c r="I38" i="4"/>
  <c r="G14" i="5"/>
  <c r="I63" i="4"/>
  <c r="H12" i="4"/>
  <c r="G13" i="5"/>
  <c r="J67" i="4"/>
  <c r="J21" i="4" s="1"/>
  <c r="I21" i="4"/>
  <c r="I66" i="4"/>
  <c r="H20" i="4"/>
  <c r="G13" i="8"/>
  <c r="F17" i="4"/>
  <c r="J63" i="4" l="1"/>
  <c r="J12" i="4" s="1"/>
  <c r="I12" i="4"/>
  <c r="J14" i="5" s="1"/>
  <c r="J66" i="4"/>
  <c r="J20" i="4" s="1"/>
  <c r="I20" i="4"/>
  <c r="H14" i="5"/>
  <c r="J62" i="4"/>
  <c r="J11" i="4" s="1"/>
  <c r="I11" i="4"/>
  <c r="I35" i="4"/>
  <c r="J75" i="4"/>
  <c r="J35" i="4" s="1"/>
  <c r="G7" i="8"/>
  <c r="F16" i="4"/>
  <c r="G15" i="8"/>
  <c r="G28" i="5" s="1"/>
  <c r="G14" i="8"/>
  <c r="G9" i="5" s="1"/>
  <c r="I14" i="5" l="1"/>
  <c r="G8" i="8"/>
  <c r="G8" i="5" s="1"/>
  <c r="G10" i="8"/>
  <c r="G27" i="5" s="1"/>
  <c r="G9" i="8"/>
  <c r="J13" i="5"/>
  <c r="I13" i="5"/>
  <c r="G16" i="8"/>
  <c r="G17" i="4"/>
  <c r="H13" i="8"/>
  <c r="G10" i="5" l="1"/>
  <c r="G11" i="8"/>
  <c r="G26" i="5"/>
  <c r="H15" i="8"/>
  <c r="H28" i="5" s="1"/>
  <c r="H14" i="8"/>
  <c r="H9" i="5" s="1"/>
  <c r="G29" i="5" l="1"/>
  <c r="H10" i="6" s="1"/>
  <c r="H16" i="8"/>
  <c r="H17" i="4" s="1"/>
  <c r="G16" i="4"/>
  <c r="H7" i="8"/>
  <c r="I13" i="8" l="1"/>
  <c r="H9" i="8"/>
  <c r="H8" i="8"/>
  <c r="H8" i="5" s="1"/>
  <c r="H10" i="8"/>
  <c r="H27" i="5" s="1"/>
  <c r="I15" i="8"/>
  <c r="I28" i="5" s="1"/>
  <c r="I14" i="8"/>
  <c r="I9" i="5" s="1"/>
  <c r="H10" i="5" l="1"/>
  <c r="H11" i="8"/>
  <c r="H26" i="5"/>
  <c r="I16" i="8"/>
  <c r="J13" i="8" s="1"/>
  <c r="H29" i="5" l="1"/>
  <c r="I10" i="6" s="1"/>
  <c r="I17" i="4"/>
  <c r="I7" i="8"/>
  <c r="H16" i="4"/>
  <c r="J15" i="8"/>
  <c r="J28" i="5" s="1"/>
  <c r="J14" i="8"/>
  <c r="J9" i="5" s="1"/>
  <c r="C61" i="4"/>
  <c r="C60" i="4"/>
  <c r="B1" i="6"/>
  <c r="B1" i="5"/>
  <c r="G92" i="6"/>
  <c r="C50" i="4"/>
  <c r="D40" i="4"/>
  <c r="E40" i="4"/>
  <c r="C40" i="4"/>
  <c r="E14" i="4"/>
  <c r="G78" i="6"/>
  <c r="G80" i="6" s="1"/>
  <c r="G62" i="6"/>
  <c r="D23" i="4"/>
  <c r="E23" i="4"/>
  <c r="C23" i="4"/>
  <c r="G64" i="6" l="1"/>
  <c r="F60" i="4"/>
  <c r="J60" i="4"/>
  <c r="I60" i="4"/>
  <c r="G60" i="4"/>
  <c r="H60" i="4"/>
  <c r="F61" i="4"/>
  <c r="J61" i="4"/>
  <c r="I61" i="4"/>
  <c r="H61" i="4"/>
  <c r="G61" i="4"/>
  <c r="I10" i="8"/>
  <c r="I27" i="5" s="1"/>
  <c r="I8" i="8"/>
  <c r="I8" i="5" s="1"/>
  <c r="I9" i="8"/>
  <c r="J16" i="8"/>
  <c r="J17" i="4" s="1"/>
  <c r="G81" i="6"/>
  <c r="G65" i="6" l="1"/>
  <c r="G11" i="6"/>
  <c r="I10" i="5"/>
  <c r="I11" i="8"/>
  <c r="J7" i="8" s="1"/>
  <c r="I26" i="5"/>
  <c r="G93" i="6"/>
  <c r="H78" i="6"/>
  <c r="H80" i="6" s="1"/>
  <c r="H62" i="6" l="1"/>
  <c r="H64" i="6" s="1"/>
  <c r="I29" i="5"/>
  <c r="J10" i="6" s="1"/>
  <c r="I16" i="4"/>
  <c r="H90" i="6"/>
  <c r="H92" i="6" s="1"/>
  <c r="J10" i="8"/>
  <c r="J27" i="5" s="1"/>
  <c r="J9" i="8"/>
  <c r="J8" i="8"/>
  <c r="J8" i="5" s="1"/>
  <c r="H65" i="6" l="1"/>
  <c r="H69" i="6" s="1"/>
  <c r="H11" i="6"/>
  <c r="J10" i="5"/>
  <c r="J26" i="5"/>
  <c r="J11" i="8"/>
  <c r="J16" i="4" s="1"/>
  <c r="H93" i="6"/>
  <c r="I62" i="6" l="1"/>
  <c r="I64" i="6" s="1"/>
  <c r="I11" i="6" s="1"/>
  <c r="J29" i="5"/>
  <c r="K10" i="6" s="1"/>
  <c r="I90" i="6"/>
  <c r="I92" i="6" s="1"/>
  <c r="I65" i="6" l="1"/>
  <c r="I69" i="6" s="1"/>
  <c r="J62" i="6"/>
  <c r="J64" i="6" s="1"/>
  <c r="J11" i="6" s="1"/>
  <c r="J65" i="6" l="1"/>
  <c r="J69" i="6" s="1"/>
  <c r="J90" i="6"/>
  <c r="J92" i="6" s="1"/>
  <c r="I93" i="6"/>
  <c r="K62" i="6" l="1"/>
  <c r="K63" i="6" l="1"/>
  <c r="K64" i="6" s="1"/>
  <c r="K11" i="6" s="1"/>
  <c r="K90" i="6"/>
  <c r="K92" i="6" s="1"/>
  <c r="J93" i="6"/>
  <c r="K65" i="6" l="1"/>
  <c r="K69" i="6" s="1"/>
  <c r="K93" i="6"/>
  <c r="E50" i="4"/>
  <c r="E33" i="4"/>
  <c r="E42" i="4" s="1"/>
  <c r="E25" i="4"/>
  <c r="D33" i="4"/>
  <c r="D42" i="4" s="1"/>
  <c r="D50" i="4"/>
  <c r="C33" i="4"/>
  <c r="C42" i="4" s="1"/>
  <c r="C52" i="4" s="1"/>
  <c r="D34" i="3"/>
  <c r="B1" i="4"/>
  <c r="F7" i="3"/>
  <c r="G28" i="3"/>
  <c r="D9" i="3"/>
  <c r="E9" i="3"/>
  <c r="G35" i="3"/>
  <c r="H35" i="3" s="1"/>
  <c r="I35" i="3" s="1"/>
  <c r="J35" i="3" s="1"/>
  <c r="D33" i="3"/>
  <c r="E33" i="3"/>
  <c r="C33" i="3"/>
  <c r="F14" i="3" l="1"/>
  <c r="F22" i="4"/>
  <c r="F30" i="4"/>
  <c r="F20" i="5" s="1"/>
  <c r="F9" i="4"/>
  <c r="C14" i="4"/>
  <c r="C25" i="4" s="1"/>
  <c r="C54" i="4" s="1"/>
  <c r="C34" i="3"/>
  <c r="G7" i="3"/>
  <c r="G17" i="3" s="1"/>
  <c r="H28" i="3"/>
  <c r="I28" i="3" s="1"/>
  <c r="J28" i="3" s="1"/>
  <c r="D14" i="4"/>
  <c r="D25" i="4" s="1"/>
  <c r="E52" i="4"/>
  <c r="E54" i="4" s="1"/>
  <c r="D52" i="4"/>
  <c r="H7" i="3" l="1"/>
  <c r="H17" i="3" s="1"/>
  <c r="H14" i="3"/>
  <c r="I8" i="6"/>
  <c r="H30" i="4"/>
  <c r="H22" i="4"/>
  <c r="H9" i="4"/>
  <c r="F16" i="5"/>
  <c r="F23" i="4"/>
  <c r="F11" i="5"/>
  <c r="G14" i="3"/>
  <c r="H8" i="6"/>
  <c r="G22" i="4"/>
  <c r="G16" i="5" s="1"/>
  <c r="G30" i="4"/>
  <c r="G20" i="5" s="1"/>
  <c r="G9" i="4"/>
  <c r="G11" i="5" s="1"/>
  <c r="I34" i="3"/>
  <c r="F34" i="3"/>
  <c r="H34" i="3"/>
  <c r="G34" i="3"/>
  <c r="J34" i="3"/>
  <c r="D54" i="4"/>
  <c r="I7" i="3"/>
  <c r="I17" i="3" s="1"/>
  <c r="H11" i="5" l="1"/>
  <c r="H23" i="4"/>
  <c r="H20" i="5"/>
  <c r="H16" i="5"/>
  <c r="G23" i="4"/>
  <c r="I14" i="3"/>
  <c r="J8" i="6"/>
  <c r="I30" i="4"/>
  <c r="I20" i="5" s="1"/>
  <c r="I22" i="4"/>
  <c r="I16" i="5" s="1"/>
  <c r="I9" i="4"/>
  <c r="J7" i="3"/>
  <c r="J17" i="3" s="1"/>
  <c r="K8" i="6" l="1"/>
  <c r="J22" i="4"/>
  <c r="J23" i="4" s="1"/>
  <c r="J30" i="4"/>
  <c r="J20" i="5" s="1"/>
  <c r="J9" i="4"/>
  <c r="J11" i="5" s="1"/>
  <c r="I11" i="5"/>
  <c r="I23" i="4"/>
  <c r="J14" i="3"/>
  <c r="D30" i="3"/>
  <c r="E30" i="3"/>
  <c r="C30" i="3"/>
  <c r="E28" i="3"/>
  <c r="D28" i="3"/>
  <c r="D12" i="3"/>
  <c r="D31" i="3" s="1"/>
  <c r="E12" i="3"/>
  <c r="E31" i="3" s="1"/>
  <c r="C9" i="3"/>
  <c r="C12" i="3" s="1"/>
  <c r="C31" i="3" s="1"/>
  <c r="B1" i="3"/>
  <c r="B3" i="1"/>
  <c r="J16" i="5" l="1"/>
  <c r="F30" i="3"/>
  <c r="J31" i="3"/>
  <c r="I31" i="3"/>
  <c r="H31" i="3"/>
  <c r="G31" i="3"/>
  <c r="H30" i="3"/>
  <c r="H11" i="3" s="1"/>
  <c r="G30" i="3"/>
  <c r="G11" i="3" s="1"/>
  <c r="F11" i="3"/>
  <c r="J30" i="3"/>
  <c r="J11" i="3" s="1"/>
  <c r="I30" i="3"/>
  <c r="I11" i="3" s="1"/>
  <c r="D29" i="3"/>
  <c r="C18" i="3"/>
  <c r="D18" i="3"/>
  <c r="E29" i="3"/>
  <c r="E18" i="3"/>
  <c r="C29" i="3"/>
  <c r="F29" i="3" l="1"/>
  <c r="F9" i="3" s="1"/>
  <c r="F8" i="3" s="1"/>
  <c r="I29" i="3"/>
  <c r="I9" i="3" s="1"/>
  <c r="I8" i="3" s="1"/>
  <c r="G29" i="3"/>
  <c r="G9" i="3" s="1"/>
  <c r="G8" i="3" s="1"/>
  <c r="H29" i="3"/>
  <c r="H9" i="3" s="1"/>
  <c r="H8" i="3" s="1"/>
  <c r="J29" i="3"/>
  <c r="J9" i="3" s="1"/>
  <c r="J8" i="3" s="1"/>
  <c r="E21" i="3"/>
  <c r="E7" i="5" s="1"/>
  <c r="E35" i="3"/>
  <c r="C21" i="3"/>
  <c r="C7" i="5" s="1"/>
  <c r="C35" i="3"/>
  <c r="D21" i="3"/>
  <c r="D7" i="5" s="1"/>
  <c r="D35" i="3"/>
  <c r="J12" i="3" l="1"/>
  <c r="J29" i="4"/>
  <c r="J13" i="4"/>
  <c r="J39" i="4"/>
  <c r="J28" i="4"/>
  <c r="J10" i="4"/>
  <c r="G39" i="4"/>
  <c r="G29" i="4"/>
  <c r="G28" i="4"/>
  <c r="G13" i="4"/>
  <c r="H15" i="5" s="1"/>
  <c r="G10" i="4"/>
  <c r="H12" i="5" s="1"/>
  <c r="I29" i="4"/>
  <c r="I19" i="5" s="1"/>
  <c r="I13" i="4"/>
  <c r="I28" i="4"/>
  <c r="I39" i="4"/>
  <c r="I10" i="4"/>
  <c r="H29" i="4"/>
  <c r="H13" i="4"/>
  <c r="H39" i="4"/>
  <c r="H28" i="4"/>
  <c r="H33" i="4" s="1"/>
  <c r="H10" i="4"/>
  <c r="F39" i="4"/>
  <c r="F21" i="5" s="1"/>
  <c r="F13" i="4"/>
  <c r="F29" i="4"/>
  <c r="F19" i="5" s="1"/>
  <c r="F28" i="4"/>
  <c r="F10" i="4"/>
  <c r="G12" i="3"/>
  <c r="I12" i="3"/>
  <c r="H12" i="3"/>
  <c r="F12" i="3"/>
  <c r="F31" i="3" s="1"/>
  <c r="I78" i="6"/>
  <c r="I80" i="6" s="1"/>
  <c r="I12" i="5" l="1"/>
  <c r="J21" i="5"/>
  <c r="H21" i="5"/>
  <c r="F18" i="5"/>
  <c r="F33" i="4"/>
  <c r="I15" i="5"/>
  <c r="J15" i="5"/>
  <c r="F15" i="5"/>
  <c r="G15" i="5"/>
  <c r="H18" i="5"/>
  <c r="G18" i="5"/>
  <c r="G33" i="4"/>
  <c r="G19" i="5"/>
  <c r="G21" i="5"/>
  <c r="H19" i="5"/>
  <c r="J18" i="5"/>
  <c r="J33" i="4"/>
  <c r="J12" i="5"/>
  <c r="I21" i="5"/>
  <c r="G12" i="5"/>
  <c r="F12" i="5"/>
  <c r="I18" i="5"/>
  <c r="I33" i="4"/>
  <c r="J19" i="5"/>
  <c r="H81" i="6"/>
  <c r="I81" i="6"/>
  <c r="J78" i="6"/>
  <c r="J80" i="6" s="1"/>
  <c r="H23" i="5" l="1"/>
  <c r="I23" i="5"/>
  <c r="F23" i="5"/>
  <c r="G23" i="5"/>
  <c r="J23" i="5"/>
  <c r="J81" i="6" l="1"/>
  <c r="K78" i="6"/>
  <c r="K79" i="6" l="1"/>
  <c r="K80" i="6" s="1"/>
  <c r="K81" i="6" l="1"/>
  <c r="G49" i="15" l="1"/>
  <c r="G51" i="15" s="1"/>
  <c r="F8" i="4" l="1"/>
  <c r="G8" i="4"/>
  <c r="H8" i="4"/>
  <c r="I8" i="4"/>
  <c r="J8" i="4"/>
  <c r="F14" i="4"/>
  <c r="G14" i="4"/>
  <c r="H14" i="4"/>
  <c r="I14" i="4"/>
  <c r="J14" i="4"/>
  <c r="F25" i="4"/>
  <c r="G25" i="4"/>
  <c r="H25" i="4"/>
  <c r="I25" i="4"/>
  <c r="J25" i="4"/>
  <c r="F37" i="4"/>
  <c r="G37" i="4"/>
  <c r="H37" i="4"/>
  <c r="I37" i="4"/>
  <c r="J37" i="4"/>
  <c r="F40" i="4"/>
  <c r="G40" i="4"/>
  <c r="H40" i="4"/>
  <c r="I40" i="4"/>
  <c r="J40" i="4"/>
  <c r="F42" i="4"/>
  <c r="G42" i="4"/>
  <c r="H42" i="4"/>
  <c r="I42" i="4"/>
  <c r="J42" i="4"/>
  <c r="F46" i="4"/>
  <c r="G46" i="4"/>
  <c r="H46" i="4"/>
  <c r="I46" i="4"/>
  <c r="J46" i="4"/>
  <c r="F48" i="4"/>
  <c r="G48" i="4"/>
  <c r="H48" i="4"/>
  <c r="I48" i="4"/>
  <c r="J48" i="4"/>
  <c r="F50" i="4"/>
  <c r="G50" i="4"/>
  <c r="H50" i="4"/>
  <c r="I50" i="4"/>
  <c r="J50" i="4"/>
  <c r="F52" i="4"/>
  <c r="G52" i="4"/>
  <c r="H52" i="4"/>
  <c r="I52" i="4"/>
  <c r="J52" i="4"/>
  <c r="F54" i="4"/>
  <c r="G54" i="4"/>
  <c r="H54" i="4"/>
  <c r="I54" i="4"/>
  <c r="J54" i="4"/>
  <c r="H7" i="6"/>
  <c r="I7" i="6"/>
  <c r="J7" i="6"/>
  <c r="K7" i="6"/>
  <c r="G9" i="6"/>
  <c r="H9" i="6"/>
  <c r="I9" i="6"/>
  <c r="J9" i="6"/>
  <c r="K9" i="6"/>
  <c r="G12" i="6"/>
  <c r="H12" i="6"/>
  <c r="I12" i="6"/>
  <c r="J12" i="6"/>
  <c r="K12" i="6"/>
  <c r="G14" i="6"/>
  <c r="H30" i="6"/>
  <c r="I30" i="6"/>
  <c r="J30" i="6"/>
  <c r="K30" i="6"/>
  <c r="G31" i="6"/>
  <c r="H31" i="6"/>
  <c r="I31" i="6"/>
  <c r="J31" i="6"/>
  <c r="K31" i="6"/>
  <c r="G32" i="6"/>
  <c r="H32" i="6"/>
  <c r="I32" i="6"/>
  <c r="J32" i="6"/>
  <c r="K32" i="6"/>
  <c r="G33" i="6"/>
  <c r="H33" i="6"/>
  <c r="I33" i="6"/>
  <c r="J33" i="6"/>
  <c r="K33" i="6"/>
  <c r="G34" i="6"/>
  <c r="H34" i="6"/>
  <c r="I34" i="6"/>
  <c r="J34" i="6"/>
  <c r="K34" i="6"/>
  <c r="H44" i="6"/>
  <c r="I44" i="6"/>
  <c r="J44" i="6"/>
  <c r="K44" i="6"/>
  <c r="G45" i="6"/>
  <c r="H45" i="6"/>
  <c r="I45" i="6"/>
  <c r="J45" i="6"/>
  <c r="K45" i="6"/>
  <c r="G46" i="6"/>
  <c r="H46" i="6"/>
  <c r="I46" i="6"/>
  <c r="J46" i="6"/>
  <c r="K46" i="6"/>
  <c r="G47" i="6"/>
  <c r="H47" i="6"/>
  <c r="I47" i="6"/>
  <c r="J47" i="6"/>
  <c r="K47" i="6"/>
  <c r="G48" i="6"/>
  <c r="H48" i="6"/>
  <c r="I48" i="6"/>
  <c r="J48" i="6"/>
  <c r="K48" i="6"/>
  <c r="G98" i="6"/>
  <c r="H98" i="6"/>
  <c r="I98" i="6"/>
  <c r="J98" i="6"/>
  <c r="K98" i="6"/>
  <c r="G99" i="6"/>
  <c r="H99" i="6"/>
  <c r="I99" i="6"/>
  <c r="J99" i="6"/>
  <c r="K99" i="6"/>
  <c r="G101" i="6"/>
  <c r="H101" i="6"/>
  <c r="I101" i="6"/>
  <c r="J101" i="6"/>
  <c r="K101" i="6"/>
  <c r="G105" i="6"/>
  <c r="H105" i="6"/>
  <c r="I105" i="6"/>
  <c r="J105" i="6"/>
  <c r="K105" i="6"/>
  <c r="G107" i="6"/>
  <c r="H107" i="6"/>
  <c r="I107" i="6"/>
  <c r="J107" i="6"/>
  <c r="K107" i="6"/>
  <c r="G108" i="6"/>
  <c r="H108" i="6"/>
  <c r="I108" i="6"/>
  <c r="J108" i="6"/>
  <c r="K108" i="6"/>
  <c r="F15" i="3"/>
  <c r="G15" i="3"/>
  <c r="H15" i="3"/>
  <c r="I15" i="3"/>
  <c r="J15" i="3"/>
  <c r="F16" i="3"/>
  <c r="G16" i="3"/>
  <c r="H16" i="3"/>
  <c r="I16" i="3"/>
  <c r="J16" i="3"/>
  <c r="F18" i="3"/>
  <c r="G18" i="3"/>
  <c r="H18" i="3"/>
  <c r="I18" i="3"/>
  <c r="J18" i="3"/>
  <c r="F20" i="3"/>
  <c r="G20" i="3"/>
  <c r="H20" i="3"/>
  <c r="I20" i="3"/>
  <c r="J20" i="3"/>
  <c r="F21" i="3"/>
  <c r="G21" i="3"/>
  <c r="H21" i="3"/>
  <c r="I21" i="3"/>
  <c r="J21" i="3"/>
  <c r="F22" i="3"/>
  <c r="G22" i="3"/>
  <c r="H22" i="3"/>
  <c r="I22" i="3"/>
  <c r="J22" i="3"/>
  <c r="F23" i="3"/>
  <c r="G23" i="3"/>
  <c r="H23" i="3"/>
  <c r="I23" i="3"/>
  <c r="J23" i="3"/>
  <c r="F24" i="3"/>
  <c r="G24" i="3"/>
  <c r="H24" i="3"/>
  <c r="I24" i="3"/>
  <c r="J24" i="3"/>
  <c r="H7" i="15"/>
  <c r="I7" i="15"/>
  <c r="J7" i="15"/>
  <c r="K7" i="15"/>
  <c r="L7" i="15"/>
  <c r="H13" i="15"/>
  <c r="I13" i="15"/>
  <c r="J13" i="15"/>
  <c r="K13" i="15"/>
  <c r="L13" i="15"/>
  <c r="H23" i="15"/>
  <c r="I23" i="15"/>
  <c r="J23" i="15"/>
  <c r="K23" i="15"/>
  <c r="L23" i="15"/>
  <c r="H32" i="15"/>
  <c r="I32" i="15"/>
  <c r="J32" i="15"/>
  <c r="K32" i="15"/>
  <c r="L32" i="15"/>
  <c r="H33" i="15"/>
  <c r="I33" i="15"/>
  <c r="J33" i="15"/>
  <c r="K33" i="15"/>
  <c r="L33" i="15"/>
  <c r="H38" i="15"/>
  <c r="I38" i="15"/>
  <c r="J38" i="15"/>
  <c r="K38" i="15"/>
  <c r="L38" i="15"/>
  <c r="H43" i="15"/>
  <c r="I43" i="15"/>
  <c r="J43" i="15"/>
  <c r="K43" i="15"/>
  <c r="L43" i="15"/>
  <c r="H44" i="15"/>
  <c r="I44" i="15"/>
  <c r="J44" i="15"/>
  <c r="K44" i="15"/>
  <c r="L44" i="15"/>
  <c r="H46" i="15"/>
  <c r="I46" i="15"/>
  <c r="J46" i="15"/>
  <c r="K46" i="15"/>
  <c r="L46" i="15"/>
  <c r="H47" i="15"/>
  <c r="I47" i="15"/>
  <c r="J47" i="15"/>
  <c r="K47" i="15"/>
  <c r="L47" i="15"/>
  <c r="H49" i="15"/>
  <c r="I49" i="15"/>
  <c r="J49" i="15"/>
  <c r="K49" i="15"/>
  <c r="L49" i="15"/>
  <c r="H51" i="15"/>
  <c r="I51" i="15"/>
  <c r="J51" i="15"/>
  <c r="K51" i="15"/>
  <c r="L51" i="15"/>
  <c r="E6" i="16"/>
  <c r="F6" i="16"/>
  <c r="G6" i="16"/>
  <c r="H6" i="16"/>
  <c r="I6" i="16"/>
  <c r="E23" i="16"/>
  <c r="F23" i="16"/>
  <c r="G23" i="16"/>
  <c r="H23" i="16"/>
  <c r="I23" i="16"/>
  <c r="E31" i="16"/>
  <c r="F31" i="16"/>
  <c r="G31" i="16"/>
  <c r="H31" i="16"/>
  <c r="I31" i="16"/>
  <c r="E32" i="16"/>
  <c r="F32" i="16"/>
  <c r="G32" i="16"/>
  <c r="H32" i="16"/>
  <c r="I32" i="16"/>
  <c r="E36" i="16"/>
  <c r="F36" i="16"/>
  <c r="G36" i="16"/>
  <c r="H36" i="16"/>
  <c r="I36" i="16"/>
  <c r="E38" i="16"/>
  <c r="F38" i="16"/>
  <c r="G38" i="16"/>
  <c r="H38" i="16"/>
  <c r="I38" i="16"/>
  <c r="F39" i="16"/>
  <c r="G39" i="16"/>
  <c r="H39" i="16"/>
  <c r="I39" i="16"/>
  <c r="E40" i="16"/>
  <c r="F40" i="16"/>
  <c r="G40" i="16"/>
  <c r="H40" i="16"/>
  <c r="I40" i="16"/>
  <c r="E6" i="17"/>
  <c r="F6" i="17"/>
  <c r="G6" i="17"/>
  <c r="H6" i="17"/>
  <c r="I6" i="17"/>
  <c r="E8" i="17"/>
  <c r="F8" i="17"/>
  <c r="G8" i="17"/>
  <c r="H8" i="17"/>
  <c r="I8" i="17"/>
  <c r="F9" i="17"/>
  <c r="G9" i="17"/>
  <c r="H9" i="17"/>
  <c r="I9" i="17"/>
  <c r="F10" i="17"/>
  <c r="G10" i="17"/>
  <c r="H10" i="17"/>
  <c r="I10" i="17"/>
  <c r="E11" i="17"/>
  <c r="F11" i="17"/>
  <c r="G11" i="17"/>
  <c r="H11" i="17"/>
  <c r="I11" i="17"/>
  <c r="E15" i="17"/>
  <c r="F15" i="17"/>
  <c r="G15" i="17"/>
  <c r="H15" i="17"/>
  <c r="I15" i="17"/>
  <c r="E27" i="17"/>
  <c r="F27" i="17"/>
  <c r="G27" i="17"/>
  <c r="H27" i="17"/>
  <c r="I27" i="17"/>
  <c r="E28" i="17"/>
  <c r="F28" i="17"/>
  <c r="G28" i="17"/>
  <c r="H28" i="17"/>
  <c r="I28" i="17"/>
  <c r="E29" i="17"/>
  <c r="F29" i="17"/>
  <c r="G29" i="17"/>
  <c r="H29" i="17"/>
  <c r="I29" i="17"/>
  <c r="F37" i="17"/>
  <c r="G37" i="17"/>
  <c r="H37" i="17"/>
  <c r="I37" i="17"/>
  <c r="F38" i="17"/>
  <c r="G38" i="17"/>
  <c r="H38" i="17"/>
  <c r="I38" i="17"/>
  <c r="E39" i="17"/>
  <c r="F39" i="17"/>
  <c r="G39" i="17"/>
  <c r="H39" i="17"/>
  <c r="I39" i="17"/>
  <c r="E40" i="17"/>
  <c r="F40" i="17"/>
  <c r="G40" i="17"/>
  <c r="H40" i="17"/>
  <c r="I40" i="17"/>
  <c r="E42" i="17"/>
  <c r="F42" i="17"/>
  <c r="G42" i="17"/>
  <c r="H42" i="17"/>
  <c r="I42" i="17"/>
  <c r="F17" i="14"/>
  <c r="G17" i="14"/>
  <c r="H17" i="14"/>
  <c r="I17" i="14"/>
  <c r="J17" i="14"/>
  <c r="F18" i="14"/>
  <c r="G18" i="14"/>
  <c r="H18" i="14"/>
  <c r="I18" i="14"/>
  <c r="J18" i="14"/>
  <c r="F24" i="14"/>
  <c r="G24" i="14"/>
  <c r="H24" i="14"/>
  <c r="I24" i="14"/>
  <c r="J24" i="14"/>
  <c r="F26" i="14"/>
  <c r="G26" i="14"/>
  <c r="H26" i="14"/>
  <c r="I26" i="14"/>
  <c r="J26" i="14"/>
  <c r="F27" i="14"/>
  <c r="G27" i="14"/>
  <c r="H27" i="14"/>
  <c r="I27" i="14"/>
  <c r="J27" i="14"/>
  <c r="F14" i="19"/>
  <c r="G14" i="19"/>
  <c r="H14" i="19"/>
  <c r="I14" i="19"/>
  <c r="F15" i="19"/>
  <c r="G15" i="19"/>
  <c r="H15" i="19"/>
  <c r="I15" i="19"/>
  <c r="F19" i="19"/>
  <c r="G19" i="19"/>
  <c r="H19" i="19"/>
  <c r="I19" i="19"/>
  <c r="E20" i="19"/>
  <c r="F20" i="19"/>
  <c r="G20" i="19"/>
  <c r="H20" i="19"/>
  <c r="I20" i="19"/>
  <c r="E22" i="19"/>
  <c r="F22" i="19"/>
  <c r="G22" i="19"/>
  <c r="H22" i="19"/>
  <c r="I22" i="19"/>
  <c r="E24" i="19"/>
  <c r="F24" i="19"/>
  <c r="G24" i="19"/>
  <c r="H24" i="19"/>
  <c r="I24" i="19"/>
  <c r="E26" i="19"/>
  <c r="F26" i="19"/>
  <c r="G26" i="19"/>
  <c r="H26" i="19"/>
  <c r="I26" i="19"/>
  <c r="F28" i="19"/>
  <c r="G28" i="19"/>
  <c r="H28" i="19"/>
  <c r="I28" i="19"/>
  <c r="E29" i="19"/>
  <c r="F29" i="19"/>
  <c r="G29" i="19"/>
  <c r="H29" i="19"/>
  <c r="I29" i="19"/>
  <c r="F7" i="5"/>
  <c r="G7" i="5"/>
  <c r="H7" i="5"/>
  <c r="I7" i="5"/>
  <c r="J7" i="5"/>
  <c r="F24" i="5"/>
  <c r="G24" i="5"/>
  <c r="H24" i="5"/>
  <c r="I24" i="5"/>
  <c r="J24" i="5"/>
  <c r="F32" i="5"/>
  <c r="G32" i="5"/>
  <c r="H32" i="5"/>
  <c r="I32" i="5"/>
  <c r="J32" i="5"/>
  <c r="F34" i="5"/>
  <c r="G34" i="5"/>
  <c r="H34" i="5"/>
  <c r="I34" i="5"/>
  <c r="J34" i="5"/>
  <c r="F35" i="5"/>
  <c r="G35" i="5"/>
  <c r="H35" i="5"/>
  <c r="I35" i="5"/>
  <c r="J35" i="5"/>
  <c r="F37" i="5"/>
  <c r="G37" i="5"/>
  <c r="H37" i="5"/>
  <c r="I37" i="5"/>
  <c r="J37" i="5"/>
  <c r="G38" i="5"/>
  <c r="H38" i="5"/>
  <c r="I38" i="5"/>
  <c r="J38" i="5"/>
  <c r="F39" i="5"/>
  <c r="G39" i="5"/>
  <c r="H39" i="5"/>
  <c r="I39" i="5"/>
  <c r="J39" i="5"/>
  <c r="S10" i="13"/>
  <c r="S11" i="13"/>
  <c r="S12" i="13"/>
  <c r="R17" i="13"/>
  <c r="S17" i="13"/>
  <c r="R18" i="13"/>
  <c r="S18" i="13"/>
  <c r="R19" i="13"/>
  <c r="S19" i="13"/>
  <c r="M20" i="13"/>
  <c r="R20" i="13"/>
  <c r="S20" i="13"/>
  <c r="M21" i="13"/>
  <c r="S22" i="13"/>
  <c r="S23" i="13"/>
  <c r="S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Kalen Mehta</author>
  </authors>
  <commentList>
    <comment ref="B32" authorId="0" shapeId="0" xr:uid="{BE583203-270B-4A8C-9D3F-7E076D17439B}">
      <text>
        <r>
          <rPr>
            <b/>
            <sz val="9"/>
            <color indexed="81"/>
            <rFont val="Tahoma"/>
            <family val="2"/>
          </rPr>
          <t>Kalen Mehta:</t>
        </r>
        <r>
          <rPr>
            <sz val="9"/>
            <color indexed="81"/>
            <rFont val="Tahoma"/>
            <family val="2"/>
          </rPr>
          <t xml:space="preserve">
Gains and Losses from activities not directly related to making and selling footwear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Avila</author>
    <author>Gavin Bresnahan</author>
  </authors>
  <commentList>
    <comment ref="B8" authorId="0" shapeId="0" xr:uid="{81940D7F-5A25-422F-81B3-B44ECCB3D1A7}">
      <text>
        <r>
          <rPr>
            <b/>
            <sz val="9"/>
            <color indexed="81"/>
            <rFont val="Tahoma"/>
            <family val="2"/>
          </rPr>
          <t>Mark Avila:</t>
        </r>
        <r>
          <rPr>
            <sz val="9"/>
            <color indexed="81"/>
            <rFont val="Tahoma"/>
            <family val="2"/>
          </rPr>
          <t xml:space="preserve">
Assumed Minimum Cash Balance was 1% of sales for the respective year</t>
        </r>
      </text>
    </comment>
    <comment ref="C23" authorId="1" shapeId="0" xr:uid="{9355F9BB-F679-4525-9F0F-1CAD0E50412D}">
      <text>
        <r>
          <rPr>
            <b/>
            <sz val="9"/>
            <color indexed="81"/>
            <rFont val="Tahoma"/>
            <family val="2"/>
          </rPr>
          <t>Gavin Bresnahan:</t>
        </r>
        <r>
          <rPr>
            <sz val="9"/>
            <color indexed="81"/>
            <rFont val="Tahoma"/>
            <family val="2"/>
          </rPr>
          <t xml:space="preserve">
Translation: The borrowers pick between the "base rate option" or the "SOFR option." The second paragraph defines the base rate IF the borrower picks the base rate option in which it is the highest of those options. IF the borrower picks SOFR option, the base rate is just SOFR, with the spread being determined by the table on the right based on the leverage ratio which is on the income statement (consolidated EBITDA/debt)
Revolving Credit Interest Rate Options; Swing Loan Interest Rate. The Borrowers shall have the right to select from the following Interest Rate Options applicable to the Revolving Credit Loans:
(i)    Revolving Credit Base Rate Option: A fluctuating rate per annum (computed on the basis of a year of 365 or 366 days, as the case may be, and actual days elapsed) equal to the Base Rate plus the Applicable Margin, such interest rate to change automatically from time to time effective as of the effective date of each change in the Base Rate; or
(ii)    Revolving Credit Term SOFR Rate Option: A rate per annum (computed on the basis of a year of 360 days and actual days elapsed) equal to the Term SOFR Rate as determined for each applicable Interest Period, plus the Applicable Margin.
“Base Rate” shall mean, for any day, a fluctuating per annum rate of interest equal to the highest of (a) the Overnight Bank Funding Rate, plus 0.25%, (b) the Prime Rate, and (c) the Daily Simple SOFR, plus 1.00%, so long as Daily Simple SOFR is offered, ascertainable and not unlawful. Any change in the Base Rate (or any component thereof) shall take effect at the opening of business on the day such change occurs. Interest on the Base Rate borrowings is calculated on a 365 or 366 day basis, as the case may be, and actual days elapsed and is payable quarterly in arrears.</t>
        </r>
      </text>
    </comment>
    <comment ref="C24" authorId="0" shapeId="0" xr:uid="{29734C7C-B666-4F63-B9C4-1BC424541A58}">
      <text>
        <r>
          <rPr>
            <b/>
            <sz val="9"/>
            <color indexed="81"/>
            <rFont val="Tahoma"/>
            <family val="2"/>
          </rPr>
          <t>Mark Avila:</t>
        </r>
        <r>
          <rPr>
            <sz val="9"/>
            <color indexed="81"/>
            <rFont val="Tahoma"/>
            <family val="2"/>
          </rPr>
          <t xml:space="preserve">
Borrowings under the Credit Agreement bear interest at a variable interest
rate based on (A) a Base Rate (defined as the highest of (i) the Overnight Bank Funding Rate (as defined in the Credit Agreement), plus 0.25%, (ii) the Prime
Rate (as defined in the Credit Agreement), and (iii) the Daily Simple SOFR (as defined in the Credit Agreement), plus 1.00%), plus an applicable margin
ranging from 0.25% to 0.875% based on our leverage ratio or 1.35% to 1.975% for the Daily Simple SOFR based on the leverage ratio, inclusive of a 0.10%
SOFR adjustment, or (B) the Term SOFR Rate (as defined in the Credit Agreement), plus an applicable margin ranging from 1.35% to 1.975% based on our
leverage ratio for one-month interest periods and three-month interest periods, inclusive of a 0.10% SOFR adjustment. </t>
        </r>
      </text>
    </comment>
  </commentList>
</comments>
</file>

<file path=xl/sharedStrings.xml><?xml version="1.0" encoding="utf-8"?>
<sst xmlns="http://schemas.openxmlformats.org/spreadsheetml/2006/main" count="477" uniqueCount="299">
  <si>
    <t>Crocs Inc (CROX)</t>
  </si>
  <si>
    <t>For IBN Distribution Only</t>
  </si>
  <si>
    <t>Operating Model</t>
  </si>
  <si>
    <t>Operating Model - Income Statement</t>
  </si>
  <si>
    <t>(All numbers in $ thousands)</t>
  </si>
  <si>
    <t>Historical</t>
  </si>
  <si>
    <t>Projected</t>
  </si>
  <si>
    <t>Net Revenue</t>
  </si>
  <si>
    <t>COGS</t>
  </si>
  <si>
    <t>Gross Profit</t>
  </si>
  <si>
    <t>SG&amp;A</t>
  </si>
  <si>
    <t>Operating Income</t>
  </si>
  <si>
    <t>Foreign Currency Gains (Losses)</t>
  </si>
  <si>
    <t>Interest Income</t>
  </si>
  <si>
    <t>Interest Expense</t>
  </si>
  <si>
    <t xml:space="preserve">Other income (expense) </t>
  </si>
  <si>
    <t>Earnings Before Taxes (EBT)</t>
  </si>
  <si>
    <t>Income Tax (benefit)</t>
  </si>
  <si>
    <t>Net Income</t>
  </si>
  <si>
    <t>Consolidated EBITDA</t>
  </si>
  <si>
    <t>Diluted EPS</t>
  </si>
  <si>
    <t>Leverage Ratio</t>
  </si>
  <si>
    <t>Income Statement Drivers</t>
  </si>
  <si>
    <t>Step</t>
  </si>
  <si>
    <t>Revenue Growth</t>
  </si>
  <si>
    <t>Gross Margin</t>
  </si>
  <si>
    <t>SG&amp;A (% of Sales)</t>
  </si>
  <si>
    <t>Operating Margin</t>
  </si>
  <si>
    <t>Other Income (% of Sales)</t>
  </si>
  <si>
    <t>Foreign Currency (% of Sales)</t>
  </si>
  <si>
    <t>Interest on Cash</t>
  </si>
  <si>
    <t>Tax Rate</t>
  </si>
  <si>
    <t>Operating Model - Balance Sheet</t>
  </si>
  <si>
    <t>Assets</t>
  </si>
  <si>
    <t>Cash and cash equivalents</t>
  </si>
  <si>
    <t>Accounts receivable</t>
  </si>
  <si>
    <t>Inventories</t>
  </si>
  <si>
    <t>Income taxes receivable</t>
  </si>
  <si>
    <t>Other receivables</t>
  </si>
  <si>
    <t>Prepaid expense &amp; other assets</t>
  </si>
  <si>
    <t>Total Current Assets</t>
  </si>
  <si>
    <t>Property and equipment, net</t>
  </si>
  <si>
    <t>Intagible assets, net</t>
  </si>
  <si>
    <t>Goodwill</t>
  </si>
  <si>
    <t>Deferred tax assets, net</t>
  </si>
  <si>
    <t>Restricted cash</t>
  </si>
  <si>
    <t>Right-of-use assets</t>
  </si>
  <si>
    <t>Other assets</t>
  </si>
  <si>
    <t>Total Non-Current Assets</t>
  </si>
  <si>
    <t>Total Assets</t>
  </si>
  <si>
    <t>Liabilities</t>
  </si>
  <si>
    <t>Accounts payable</t>
  </si>
  <si>
    <t>Accrued expenses</t>
  </si>
  <si>
    <t>Income taxes payable</t>
  </si>
  <si>
    <t>Current borrowings</t>
  </si>
  <si>
    <t>Current operating lease liabilities</t>
  </si>
  <si>
    <t>Total Current Liabilities</t>
  </si>
  <si>
    <t>Deferred tax liabilities, net</t>
  </si>
  <si>
    <t>Long-term income taxes payable</t>
  </si>
  <si>
    <t>Long-term borrowings</t>
  </si>
  <si>
    <t>Long-term operating lease liabilities</t>
  </si>
  <si>
    <t>Other liabilities</t>
  </si>
  <si>
    <t>Total Non-Current Liabilities</t>
  </si>
  <si>
    <t>Total Liabilities</t>
  </si>
  <si>
    <t>Stockholders' Equity</t>
  </si>
  <si>
    <t>Common stock</t>
  </si>
  <si>
    <t>Treasury stock</t>
  </si>
  <si>
    <t>Additional paid-in-capital</t>
  </si>
  <si>
    <t>Retained Earnings</t>
  </si>
  <si>
    <t>Accumulated other comprehensive loss</t>
  </si>
  <si>
    <t>Total Stockholders' Equity</t>
  </si>
  <si>
    <t>Total Liabilities and Stockholders' Equity</t>
  </si>
  <si>
    <t>Balance Check</t>
  </si>
  <si>
    <t>Balance Sheet Drivers</t>
  </si>
  <si>
    <t>Days sales outstanding (DSO)</t>
  </si>
  <si>
    <t>Days inventory held (DIH)</t>
  </si>
  <si>
    <t>Income Tax Receivable</t>
  </si>
  <si>
    <t>Other Receivables</t>
  </si>
  <si>
    <t>Prepaid Expense (% of COGS)</t>
  </si>
  <si>
    <t xml:space="preserve">Deferred Tax Assets </t>
  </si>
  <si>
    <t>Restricted Cash</t>
  </si>
  <si>
    <t>Operating lease right-of-use assets</t>
  </si>
  <si>
    <t>Other assets (% of Sales)</t>
  </si>
  <si>
    <t>Days payable outstanding (DPO)</t>
  </si>
  <si>
    <t>Accrued Expenses (% of COGS)</t>
  </si>
  <si>
    <t>Income Taxes Payable (% of Sales)</t>
  </si>
  <si>
    <t>Current Right-of-use Liabilities</t>
  </si>
  <si>
    <t xml:space="preserve">Deferred Tax Liabilities </t>
  </si>
  <si>
    <t>Long-term incomes taxes payable</t>
  </si>
  <si>
    <t>Long-term right-of-use liabilities</t>
  </si>
  <si>
    <t>Other long-term liabilities (% of COGS)</t>
  </si>
  <si>
    <t>Operating Model - Statement of Cashflows</t>
  </si>
  <si>
    <t>Depreciation</t>
  </si>
  <si>
    <t>Amortization of Intangibles</t>
  </si>
  <si>
    <t>Total Depreciation &amp; Amortization</t>
  </si>
  <si>
    <t>Change in Accounts Receivable, Net</t>
  </si>
  <si>
    <t>Change in Inventories</t>
  </si>
  <si>
    <t>Change in Income Tax Receivable</t>
  </si>
  <si>
    <t>Change in Other Receivables</t>
  </si>
  <si>
    <t>Change in Prepaid Expenses &amp; Other Current Assets</t>
  </si>
  <si>
    <t>Change in Other Assets</t>
  </si>
  <si>
    <t>Change in Accounts Payable</t>
  </si>
  <si>
    <t>Change in Accrued Expenses</t>
  </si>
  <si>
    <t>Change in Income Taxes Payable</t>
  </si>
  <si>
    <t>Change in Other Liabilities</t>
  </si>
  <si>
    <t>Cash from Changes in Net Operating Assets</t>
  </si>
  <si>
    <t>Operating Cash Flows</t>
  </si>
  <si>
    <t>Capital expenditures</t>
  </si>
  <si>
    <t>Disposal of PP&amp;E</t>
  </si>
  <si>
    <t>Intangible Investments</t>
  </si>
  <si>
    <t>Investing Cash Flows</t>
  </si>
  <si>
    <t>Share Repurchases</t>
  </si>
  <si>
    <t>Issuance Cost Amortization</t>
  </si>
  <si>
    <t>Debt repayment</t>
  </si>
  <si>
    <t>Financing cash flows</t>
  </si>
  <si>
    <t>Net change in cash</t>
  </si>
  <si>
    <t>Beginning cash</t>
  </si>
  <si>
    <t>Ending cash</t>
  </si>
  <si>
    <t>Operating Model - Debt Schedule</t>
  </si>
  <si>
    <t>Beginning Cash</t>
  </si>
  <si>
    <t>Adj. for Minimum Cash Balance</t>
  </si>
  <si>
    <t>Operating Cash Flow</t>
  </si>
  <si>
    <t>Investing Cash Flow</t>
  </si>
  <si>
    <t>Mandatory Amortization</t>
  </si>
  <si>
    <t>Cash Available for Financing Activities</t>
  </si>
  <si>
    <t>Minimum Cash Balance (% of Sales)</t>
  </si>
  <si>
    <t>Debt Schedule</t>
  </si>
  <si>
    <t>Forward 3M Term SOFR Curve</t>
  </si>
  <si>
    <t>Revolving Credit Facility</t>
  </si>
  <si>
    <t>SOFR</t>
  </si>
  <si>
    <t>SOFR Spread</t>
  </si>
  <si>
    <t>Interest Rate</t>
  </si>
  <si>
    <t>Maturity</t>
  </si>
  <si>
    <t>Commitment Fee</t>
  </si>
  <si>
    <t>Facility Size</t>
  </si>
  <si>
    <t>Current Amount Outstanding</t>
  </si>
  <si>
    <t>Beginning Balance</t>
  </si>
  <si>
    <t>Drawdown/(Repayment)</t>
  </si>
  <si>
    <t>Ending Balance</t>
  </si>
  <si>
    <t>Commitment Fee Expense</t>
  </si>
  <si>
    <t>Asia Revolving Credit Facility</t>
  </si>
  <si>
    <t xml:space="preserve">   Commitment Fee Expense</t>
  </si>
  <si>
    <t>Term Loan B</t>
  </si>
  <si>
    <t>Mandatory Amortization per Quarter</t>
  </si>
  <si>
    <t>Debt Repayment</t>
  </si>
  <si>
    <t>Beginning Unamortized Issuance Costs</t>
  </si>
  <si>
    <t>Issuance Costs Realization</t>
  </si>
  <si>
    <t>Ending Unamortized Issuance Cost</t>
  </si>
  <si>
    <t>2029 Notes</t>
  </si>
  <si>
    <t>Repayment</t>
  </si>
  <si>
    <t>2031 Notes</t>
  </si>
  <si>
    <t xml:space="preserve">Financing Cash Flows </t>
  </si>
  <si>
    <t>Issuance Cost Ammortization</t>
  </si>
  <si>
    <t>Repayments</t>
  </si>
  <si>
    <t>Total Change in Debt</t>
  </si>
  <si>
    <t>Total Interest Expense</t>
  </si>
  <si>
    <t>Share Repurchase Schedule</t>
  </si>
  <si>
    <t>Cash Available for Buybacks</t>
  </si>
  <si>
    <t>Shares Repurchased (% of Cash Available)</t>
  </si>
  <si>
    <t>Total Spent on Shares Repurchases</t>
  </si>
  <si>
    <t>Ending Cash</t>
  </si>
  <si>
    <t>Operating Model - Asset Schedule</t>
  </si>
  <si>
    <t>Net Property, Plant &amp; Equipment, Beginning</t>
  </si>
  <si>
    <t>Less: Depreciation</t>
  </si>
  <si>
    <t>Plus: Consolidated Capital Expenditures</t>
  </si>
  <si>
    <t>(+/-) Acquired/Disposed PP&amp;E</t>
  </si>
  <si>
    <t>Net Property, Plant &amp; Equipment, Ending</t>
  </si>
  <si>
    <t>Net Intangibles, Beginning</t>
  </si>
  <si>
    <t>Less: Amortization</t>
  </si>
  <si>
    <t>Plus: Purchases of Intangibles</t>
  </si>
  <si>
    <t>Net Intangibles Ending</t>
  </si>
  <si>
    <t>Fixed Asset Drivers</t>
  </si>
  <si>
    <t>Depreciation (% of Beginning PP&amp;E)</t>
  </si>
  <si>
    <t>Capex (% of Beginning PP&amp;E)</t>
  </si>
  <si>
    <t>Acquisition (+)/Disposal (-) of PP&amp;E (% of Beginning PP&amp;E)</t>
  </si>
  <si>
    <t>Amortization (% of Beginning Intangibles)</t>
  </si>
  <si>
    <t>Purchases of Intangibles (% of Beginning Intangibles)</t>
  </si>
  <si>
    <t>LBO Analysis - Transaction Structure</t>
  </si>
  <si>
    <t>LBO Analysis - Pro Forma Income Statement</t>
  </si>
  <si>
    <t>LBO Analysis - Pro Forma Balance Sheet</t>
  </si>
  <si>
    <t>LBO Analysis - Pro Forma Cash Flow Statement</t>
  </si>
  <si>
    <t>LBO Analysis - Pro Forma Debt Schedule</t>
  </si>
  <si>
    <t>LBO Analysis - Returns Analysis</t>
  </si>
  <si>
    <t>Transaction Structure</t>
  </si>
  <si>
    <t>Sources</t>
  </si>
  <si>
    <t>Revolver</t>
  </si>
  <si>
    <t>Term Loan A</t>
  </si>
  <si>
    <t>Senior Notes</t>
  </si>
  <si>
    <t>Subordinated Notes</t>
  </si>
  <si>
    <t>Equity Contribution</t>
  </si>
  <si>
    <t>Existing Cash</t>
  </si>
  <si>
    <t>Total Sources</t>
  </si>
  <si>
    <t>Debt/EBITDA</t>
  </si>
  <si>
    <t>Uses</t>
  </si>
  <si>
    <t>Equity Purchase</t>
  </si>
  <si>
    <t>Repayment of Existing Debt</t>
  </si>
  <si>
    <t>Other Fees and Expenses</t>
  </si>
  <si>
    <t>Total Uses</t>
  </si>
  <si>
    <t>Minimum Cash Balance</t>
  </si>
  <si>
    <t>EBITDAx</t>
  </si>
  <si>
    <t>$</t>
  </si>
  <si>
    <t>Transaction Value</t>
  </si>
  <si>
    <t>Enterprise Value</t>
  </si>
  <si>
    <t>Entry EBITDA Multiple</t>
  </si>
  <si>
    <t>LTM EBITDA</t>
  </si>
  <si>
    <t>Plus: Cash and Cash Equivalents</t>
  </si>
  <si>
    <t>Less: Total Debt</t>
  </si>
  <si>
    <t>Less: Preferred Stock</t>
  </si>
  <si>
    <t>Less: Noncontrolling Interest</t>
  </si>
  <si>
    <t>Equity Purchase Price</t>
  </si>
  <si>
    <t>Fully Diluted Shares Outstanding</t>
  </si>
  <si>
    <t>Implied Share Price</t>
  </si>
  <si>
    <t>Goodwill Creation</t>
  </si>
  <si>
    <t>Goodwill Created</t>
  </si>
  <si>
    <t>Existing Shareholder's Equity</t>
  </si>
  <si>
    <t>PF Goodwill</t>
  </si>
  <si>
    <t>Original Basic Shares Outstanding</t>
  </si>
  <si>
    <t>Diluted Shares</t>
  </si>
  <si>
    <t>Share Price</t>
  </si>
  <si>
    <t>Option Tranches</t>
  </si>
  <si>
    <t>Amount Outstanding</t>
  </si>
  <si>
    <t>Exercise Price</t>
  </si>
  <si>
    <t>In the Money Shares</t>
  </si>
  <si>
    <t>Proceeds</t>
  </si>
  <si>
    <t>Stock Options</t>
  </si>
  <si>
    <t>RSU</t>
  </si>
  <si>
    <t>RSA</t>
  </si>
  <si>
    <t>Total</t>
  </si>
  <si>
    <t>Shares Issued</t>
  </si>
  <si>
    <t>Shares Bought Back</t>
  </si>
  <si>
    <t>Net Shares Issued</t>
  </si>
  <si>
    <t>Cash</t>
  </si>
  <si>
    <t>Accounts Receivable, net</t>
  </si>
  <si>
    <t>Income Taxes Receivable</t>
  </si>
  <si>
    <t>Prepaid Expenses &amp; Other assets</t>
  </si>
  <si>
    <t>Intangible assets, net</t>
  </si>
  <si>
    <t>Total non-current assets</t>
  </si>
  <si>
    <t>Accrued Expenses</t>
  </si>
  <si>
    <t>Existing Debt</t>
  </si>
  <si>
    <t>Total Debt</t>
  </si>
  <si>
    <t>Total Non-current Liabilities</t>
  </si>
  <si>
    <t>Stockholders Equity</t>
  </si>
  <si>
    <t>Total Shareholders' Equity</t>
  </si>
  <si>
    <t>Total Liabilities and Stockholder's Equity</t>
  </si>
  <si>
    <t>Balance check</t>
  </si>
  <si>
    <t>Plus</t>
  </si>
  <si>
    <t>Less</t>
  </si>
  <si>
    <t>Opening</t>
  </si>
  <si>
    <t>Adjustments</t>
  </si>
  <si>
    <t>Pro Forma</t>
  </si>
  <si>
    <t>Net Sales</t>
  </si>
  <si>
    <t>Total Revenue</t>
  </si>
  <si>
    <t>Operating Expenses</t>
  </si>
  <si>
    <t>Operating Profit (EBIT)</t>
  </si>
  <si>
    <t>Other income (expense)</t>
  </si>
  <si>
    <t>EBT</t>
  </si>
  <si>
    <t>Income Tax Expense</t>
  </si>
  <si>
    <t>Amortization</t>
  </si>
  <si>
    <t>Change in Accounts Receivable, net</t>
  </si>
  <si>
    <t>Change in Current Borrowings</t>
  </si>
  <si>
    <t>Change in Current Operating Lease Liabilities</t>
  </si>
  <si>
    <t>Cash from changes in net operating assets</t>
  </si>
  <si>
    <t>Capital Expenditures</t>
  </si>
  <si>
    <t>Cash paid for acquisitions</t>
  </si>
  <si>
    <t>Investing cash flows</t>
  </si>
  <si>
    <t>Cash drawn from (repayment of) revolver</t>
  </si>
  <si>
    <t>Cash flow from operating activities</t>
  </si>
  <si>
    <t>Cash from investing activities</t>
  </si>
  <si>
    <t>Cash available for Debt Repayment</t>
  </si>
  <si>
    <t>Total Mandatory Repayments</t>
  </si>
  <si>
    <t>Cash from balance sheet</t>
  </si>
  <si>
    <t>Total cash available</t>
  </si>
  <si>
    <t>Revolving Credit</t>
  </si>
  <si>
    <t>Multiple</t>
  </si>
  <si>
    <t>Rate</t>
  </si>
  <si>
    <t>Drawdown (repayment)</t>
  </si>
  <si>
    <t>Ending balance</t>
  </si>
  <si>
    <t>Interest expense</t>
  </si>
  <si>
    <t>Size</t>
  </si>
  <si>
    <t>Mandatory Repayment</t>
  </si>
  <si>
    <t>Optional repayment</t>
  </si>
  <si>
    <t>Maturity Date</t>
  </si>
  <si>
    <t>Preferred Multiple</t>
  </si>
  <si>
    <t>Practical Multiple</t>
  </si>
  <si>
    <t>Initial equity investment</t>
  </si>
  <si>
    <t>EBITDA</t>
  </si>
  <si>
    <t>Exit EBITDA Multiple</t>
  </si>
  <si>
    <t>EV at exit</t>
  </si>
  <si>
    <t>Less total debt</t>
  </si>
  <si>
    <t>Plus total cash</t>
  </si>
  <si>
    <t>Equity value at exit</t>
  </si>
  <si>
    <t>Cash-on-Cash Return</t>
  </si>
  <si>
    <t>Internal Rate of Return</t>
  </si>
  <si>
    <t>Interest Coverage Ratio</t>
  </si>
  <si>
    <t>SOFR + 1.5%</t>
  </si>
  <si>
    <t>SOFR + 2.25%</t>
  </si>
  <si>
    <t>SOFR + 2.75%</t>
  </si>
  <si>
    <t>Bullet</t>
  </si>
  <si>
    <t>Cash Available for Optional Debt Repayment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</si>
</sst>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_);\(#,##0\);\-"/>
    <numFmt numFmtId="166" formatCode="0.0"/>
    <numFmt numFmtId="167" formatCode="0.000%"/>
    <numFmt numFmtId="168" formatCode="#,##0.0_);\(#,##0.0\)"/>
    <numFmt numFmtId="169" formatCode="yyyy"/>
    <numFmt numFmtId="170" formatCode="_(* #,##0_);_(* \(#,##0\);_(* &quot;-&quot;??_);_(@_)"/>
    <numFmt numFmtId="171" formatCode="_(* #,##0.0_);_(* \(#,##0.0\);_(* &quot;-&quot;?_);_(@_)"/>
    <numFmt numFmtId="172" formatCode="&quot;SOFR + 2.25%&quot;"/>
    <numFmt numFmtId="173" formatCode="&quot;SOFR + 1.475%&quot;"/>
    <numFmt numFmtId="174" formatCode="00.00&quot;x&quot;"/>
    <numFmt numFmtId="175" formatCode="_(&quot;$&quot;* #,##0_);_(&quot;$&quot;* \(#,##0\);_(&quot;$&quot;* &quot;-&quot;??_);_(@_)"/>
    <numFmt numFmtId="176" formatCode=".00&quot;x&quot;"/>
    <numFmt numFmtId="177" formatCode="0.00&quot;x&quot;"/>
  </numFmts>
  <fonts count="45" x14ac:knownFonts="1">
    <font>
      <sz val="11"/>
      <color theme="1"/>
      <name val="Calibri"/>
      <family val="2"/>
      <scheme val="minor"/>
    </font>
    <font>
      <sz val="11"/>
      <color theme="1"/>
      <name val="Calibri"/>
      <family val="2"/>
      <scheme val="minor"/>
    </font>
    <font>
      <b/>
      <sz val="12"/>
      <color rgb="FFEEECE1"/>
      <name val="Constantia"/>
      <family val="1"/>
    </font>
    <font>
      <i/>
      <sz val="9"/>
      <color rgb="FFEEECE1"/>
      <name val="Constantia"/>
      <family val="1"/>
    </font>
    <font>
      <sz val="10"/>
      <color rgb="FFEEECE1"/>
      <name val="Constantia"/>
      <family val="1"/>
    </font>
    <font>
      <sz val="24"/>
      <color theme="1"/>
      <name val="Calibri"/>
      <family val="2"/>
      <scheme val="minor"/>
    </font>
    <font>
      <b/>
      <sz val="24"/>
      <color rgb="FFEEECE1"/>
      <name val="Constantia"/>
      <family val="1"/>
    </font>
    <font>
      <sz val="24"/>
      <color rgb="FFEEECE1"/>
      <name val="Calibri Light"/>
      <family val="2"/>
      <scheme val="major"/>
    </font>
    <font>
      <i/>
      <sz val="20"/>
      <color rgb="FFEEECE1"/>
      <name val="Constantia"/>
      <family val="1"/>
    </font>
    <font>
      <b/>
      <sz val="10"/>
      <color theme="1"/>
      <name val="Book Antiqua"/>
      <family val="1"/>
    </font>
    <font>
      <b/>
      <sz val="10"/>
      <color theme="0"/>
      <name val="Book Antiqua"/>
      <family val="1"/>
    </font>
    <font>
      <sz val="10"/>
      <color theme="1"/>
      <name val="Book Antiqua"/>
      <family val="1"/>
    </font>
    <font>
      <sz val="10"/>
      <color rgb="FF1111FF"/>
      <name val="Book Antiqua"/>
      <family val="1"/>
    </font>
    <font>
      <sz val="9"/>
      <color indexed="81"/>
      <name val="Tahoma"/>
      <family val="2"/>
    </font>
    <font>
      <b/>
      <sz val="9"/>
      <color indexed="81"/>
      <name val="Tahoma"/>
      <family val="2"/>
    </font>
    <font>
      <b/>
      <sz val="10"/>
      <name val="Book Antiqua"/>
      <family val="1"/>
    </font>
    <font>
      <sz val="10"/>
      <color rgb="FF3333CC"/>
      <name val="Book Antiqua"/>
      <family val="1"/>
    </font>
    <font>
      <sz val="10"/>
      <name val="Book Antiqua"/>
      <family val="1"/>
    </font>
    <font>
      <sz val="11"/>
      <color theme="1"/>
      <name val="Book Antiqua"/>
      <family val="1"/>
    </font>
    <font>
      <sz val="10"/>
      <color rgb="FF148229"/>
      <name val="Book Antiqua"/>
      <family val="1"/>
    </font>
    <font>
      <b/>
      <sz val="12"/>
      <color rgb="FFEEECE1"/>
      <name val="Book Antiqua"/>
      <family val="1"/>
    </font>
    <font>
      <sz val="10"/>
      <color rgb="FFEEECE1"/>
      <name val="Book Antiqua"/>
      <family val="1"/>
    </font>
    <font>
      <i/>
      <sz val="9"/>
      <color rgb="FFEEECE1"/>
      <name val="Book Antiqua"/>
      <family val="1"/>
    </font>
    <font>
      <b/>
      <sz val="10"/>
      <color rgb="FF1111FF"/>
      <name val="Book Antiqua"/>
      <family val="1"/>
    </font>
    <font>
      <i/>
      <sz val="10"/>
      <color rgb="FFFF0000"/>
      <name val="Book Antiqua"/>
      <family val="1"/>
    </font>
    <font>
      <sz val="10"/>
      <color rgb="FFFF0000"/>
      <name val="Book Antiqua"/>
      <family val="1"/>
    </font>
    <font>
      <sz val="10"/>
      <color rgb="FF3333CC"/>
      <name val="Calibri"/>
      <family val="2"/>
      <scheme val="minor"/>
    </font>
    <font>
      <b/>
      <sz val="10"/>
      <color rgb="FF148229"/>
      <name val="Book Antiqua"/>
      <family val="1"/>
    </font>
    <font>
      <i/>
      <sz val="10"/>
      <color theme="1"/>
      <name val="Book Antiqua"/>
      <family val="1"/>
    </font>
    <font>
      <sz val="1"/>
      <color indexed="9"/>
      <name val="Symbol"/>
      <family val="1"/>
      <charset val="2"/>
    </font>
    <font>
      <b/>
      <sz val="10"/>
      <color rgb="FFEEECE1"/>
      <name val="Book Antiqua"/>
      <family val="1"/>
    </font>
    <font>
      <i/>
      <sz val="10"/>
      <color rgb="FFEEECE1"/>
      <name val="Book Antiqua"/>
      <family val="1"/>
    </font>
    <font>
      <b/>
      <sz val="11"/>
      <color theme="1"/>
      <name val="Calibri"/>
      <family val="2"/>
      <scheme val="minor"/>
    </font>
    <font>
      <sz val="11"/>
      <color theme="0"/>
      <name val="Calibri"/>
      <family val="2"/>
      <scheme val="minor"/>
    </font>
    <font>
      <sz val="11"/>
      <color theme="0"/>
      <name val="Book Antiqua"/>
      <family val="1"/>
    </font>
    <font>
      <i/>
      <sz val="11"/>
      <color theme="1"/>
      <name val="Book Antiqua"/>
      <family val="1"/>
    </font>
    <font>
      <b/>
      <sz val="11"/>
      <color theme="1"/>
      <name val="Book Antiqua"/>
      <family val="1"/>
    </font>
    <font>
      <i/>
      <sz val="11"/>
      <color theme="1"/>
      <name val="Calibri"/>
      <family val="2"/>
      <scheme val="minor"/>
    </font>
    <font>
      <sz val="10"/>
      <color theme="0"/>
      <name val="Book Antiqua"/>
      <family val="1"/>
    </font>
    <font>
      <sz val="11"/>
      <color rgb="FF0070C0"/>
      <name val="Calibri"/>
      <family val="2"/>
      <scheme val="minor"/>
    </font>
    <font>
      <sz val="11"/>
      <color rgb="FF148229"/>
      <name val="Book Antiqua"/>
      <family val="1"/>
    </font>
    <font>
      <sz val="10"/>
      <color rgb="FF0070C0"/>
      <name val="Book Antiqua"/>
      <family val="1"/>
    </font>
    <font>
      <b/>
      <sz val="11"/>
      <color rgb="FF0070C0"/>
      <name val="Book Antiqua"/>
      <family val="1"/>
    </font>
    <font>
      <sz val="11"/>
      <color rgb="FF0070C0"/>
      <name val="Book Antiqua"/>
      <family val="1"/>
    </font>
    <font>
      <sz val="11"/>
      <color rgb="FF148229"/>
      <name val="Calibri"/>
      <family val="2"/>
      <scheme val="minor"/>
    </font>
  </fonts>
  <fills count="12">
    <fill>
      <patternFill patternType="none"/>
    </fill>
    <fill>
      <patternFill patternType="gray125"/>
    </fill>
    <fill>
      <patternFill patternType="solid">
        <fgColor rgb="FF6A1510"/>
        <bgColor indexed="64"/>
      </patternFill>
    </fill>
    <fill>
      <patternFill patternType="solid">
        <fgColor rgb="FF243850"/>
        <bgColor indexed="64"/>
      </patternFill>
    </fill>
    <fill>
      <patternFill patternType="solid">
        <fgColor rgb="FFCCD1E2"/>
        <bgColor indexed="64"/>
      </patternFill>
    </fill>
    <fill>
      <patternFill patternType="solid">
        <fgColor rgb="FFF4D4BE"/>
        <bgColor indexed="64"/>
      </patternFill>
    </fill>
    <fill>
      <patternFill patternType="solid">
        <fgColor rgb="FFEEECE1"/>
        <bgColor indexed="64"/>
      </patternFill>
    </fill>
    <fill>
      <patternFill patternType="solid">
        <fgColor rgb="FFD2D3DC"/>
        <bgColor indexed="64"/>
      </patternFill>
    </fill>
    <fill>
      <patternFill patternType="solid">
        <fgColor rgb="FFE2D4D4"/>
        <bgColor indexed="64"/>
      </patternFill>
    </fill>
    <fill>
      <patternFill patternType="solid">
        <fgColor theme="2"/>
        <bgColor indexed="64"/>
      </patternFill>
    </fill>
    <fill>
      <patternFill patternType="solid">
        <fgColor rgb="FFE7E6E6"/>
        <bgColor indexed="64"/>
      </patternFill>
    </fill>
    <fill>
      <patternFill patternType="solid">
        <fgColor theme="0" tint="-0.14999847407452621"/>
        <bgColor indexed="64"/>
      </patternFill>
    </fill>
  </fills>
  <borders count="42">
    <border>
      <left/>
      <right/>
      <top/>
      <bottom/>
      <diagonal/>
    </border>
    <border>
      <left style="mediumDashDot">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auto="1"/>
      </top>
      <bottom/>
      <diagonal/>
    </border>
    <border>
      <left style="mediumDashDot">
        <color auto="1"/>
      </left>
      <right/>
      <top style="medium">
        <color auto="1"/>
      </top>
      <bottom/>
      <diagonal/>
    </border>
    <border>
      <left/>
      <right style="mediumDashDot">
        <color auto="1"/>
      </right>
      <top style="medium">
        <color auto="1"/>
      </top>
      <bottom/>
      <diagonal/>
    </border>
    <border>
      <left/>
      <right style="mediumDashDot">
        <color auto="1"/>
      </right>
      <top style="thick">
        <color auto="1"/>
      </top>
      <bottom/>
      <diagonal/>
    </border>
    <border>
      <left/>
      <right/>
      <top style="thick">
        <color auto="1"/>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dashed">
        <color auto="1"/>
      </left>
      <right/>
      <top/>
      <bottom/>
      <diagonal/>
    </border>
    <border>
      <left/>
      <right style="dashed">
        <color auto="1"/>
      </right>
      <top/>
      <bottom/>
      <diagonal/>
    </border>
    <border>
      <left style="dashed">
        <color auto="1"/>
      </left>
      <right/>
      <top/>
      <bottom style="thin">
        <color indexed="64"/>
      </bottom>
      <diagonal/>
    </border>
    <border>
      <left/>
      <right style="dashed">
        <color auto="1"/>
      </right>
      <top/>
      <bottom style="thin">
        <color indexed="64"/>
      </bottom>
      <diagonal/>
    </border>
    <border>
      <left style="dashed">
        <color auto="1"/>
      </left>
      <right/>
      <top style="thin">
        <color indexed="64"/>
      </top>
      <bottom style="thin">
        <color indexed="64"/>
      </bottom>
      <diagonal/>
    </border>
    <border>
      <left/>
      <right style="dashed">
        <color auto="1"/>
      </right>
      <top style="thin">
        <color indexed="64"/>
      </top>
      <bottom style="thin">
        <color indexed="64"/>
      </bottom>
      <diagonal/>
    </border>
    <border>
      <left style="medium">
        <color auto="1"/>
      </left>
      <right/>
      <top style="medium">
        <color auto="1"/>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9" fillId="0" borderId="0" applyAlignment="0"/>
  </cellStyleXfs>
  <cellXfs count="378">
    <xf numFmtId="0" fontId="0" fillId="0" borderId="0" xfId="0"/>
    <xf numFmtId="0" fontId="0" fillId="2" borderId="0" xfId="0" applyFill="1"/>
    <xf numFmtId="0" fontId="2" fillId="2" borderId="0" xfId="0" applyFont="1" applyFill="1"/>
    <xf numFmtId="14" fontId="3" fillId="2" borderId="0" xfId="0" applyNumberFormat="1" applyFont="1" applyFill="1" applyAlignment="1">
      <alignment horizontal="left"/>
    </xf>
    <xf numFmtId="0" fontId="4" fillId="2" borderId="0" xfId="0" applyFont="1" applyFill="1"/>
    <xf numFmtId="0" fontId="0" fillId="3" borderId="0" xfId="0" applyFill="1"/>
    <xf numFmtId="2" fontId="0" fillId="2" borderId="0" xfId="0" applyNumberFormat="1" applyFill="1"/>
    <xf numFmtId="0" fontId="5" fillId="3" borderId="0" xfId="0" applyFont="1" applyFill="1"/>
    <xf numFmtId="0" fontId="6" fillId="2" borderId="0" xfId="0" applyFont="1" applyFill="1" applyAlignment="1">
      <alignment horizontal="centerContinuous" vertical="center"/>
    </xf>
    <xf numFmtId="0" fontId="7" fillId="2" borderId="0" xfId="0" applyFont="1" applyFill="1" applyAlignment="1">
      <alignment horizontal="centerContinuous"/>
    </xf>
    <xf numFmtId="0" fontId="8" fillId="2" borderId="0" xfId="0" applyFont="1" applyFill="1" applyAlignment="1">
      <alignment horizontal="centerContinuous" vertical="center"/>
    </xf>
    <xf numFmtId="0" fontId="3" fillId="2" borderId="0" xfId="0" applyFont="1" applyFill="1"/>
    <xf numFmtId="0" fontId="9" fillId="4" borderId="0" xfId="0" applyFont="1" applyFill="1" applyAlignment="1">
      <alignment horizontal="centerContinuous"/>
    </xf>
    <xf numFmtId="0" fontId="9" fillId="5" borderId="0" xfId="0" applyFont="1" applyFill="1" applyAlignment="1">
      <alignment horizontal="centerContinuous"/>
    </xf>
    <xf numFmtId="0" fontId="10" fillId="2" borderId="0" xfId="0" applyFont="1" applyFill="1" applyAlignment="1">
      <alignment horizontal="right"/>
    </xf>
    <xf numFmtId="0" fontId="11" fillId="0" borderId="0" xfId="0" applyFont="1"/>
    <xf numFmtId="0" fontId="10" fillId="2" borderId="0" xfId="0" applyFont="1" applyFill="1" applyAlignment="1">
      <alignment horizontal="left"/>
    </xf>
    <xf numFmtId="0" fontId="10" fillId="2" borderId="2" xfId="0" applyFont="1" applyFill="1" applyBorder="1" applyAlignment="1">
      <alignment horizontal="center"/>
    </xf>
    <xf numFmtId="0" fontId="11" fillId="6" borderId="0" xfId="0" applyFont="1" applyFill="1"/>
    <xf numFmtId="164" fontId="11" fillId="0" borderId="0" xfId="2" applyNumberFormat="1" applyFont="1"/>
    <xf numFmtId="164" fontId="12" fillId="0" borderId="1" xfId="0" applyNumberFormat="1" applyFont="1" applyBorder="1"/>
    <xf numFmtId="164" fontId="11" fillId="0" borderId="0" xfId="0" applyNumberFormat="1" applyFont="1"/>
    <xf numFmtId="10" fontId="12" fillId="0" borderId="3" xfId="0" applyNumberFormat="1" applyFont="1" applyBorder="1" applyAlignment="1">
      <alignment horizontal="center"/>
    </xf>
    <xf numFmtId="164" fontId="11" fillId="0" borderId="1" xfId="2" applyNumberFormat="1" applyFont="1" applyBorder="1"/>
    <xf numFmtId="0" fontId="11" fillId="0" borderId="3" xfId="0" applyFont="1" applyBorder="1"/>
    <xf numFmtId="164" fontId="11" fillId="0" borderId="1" xfId="0" applyNumberFormat="1" applyFont="1" applyBorder="1"/>
    <xf numFmtId="0" fontId="11" fillId="0" borderId="4" xfId="0" applyFont="1" applyBorder="1"/>
    <xf numFmtId="41" fontId="12" fillId="0" borderId="0" xfId="1" applyNumberFormat="1" applyFont="1"/>
    <xf numFmtId="0" fontId="9" fillId="0" borderId="0" xfId="0" applyFont="1"/>
    <xf numFmtId="0" fontId="9" fillId="5" borderId="1" xfId="0" applyFont="1" applyFill="1" applyBorder="1" applyAlignment="1">
      <alignment horizontal="centerContinuous"/>
    </xf>
    <xf numFmtId="41" fontId="11" fillId="0" borderId="1" xfId="0" applyNumberFormat="1" applyFont="1" applyBorder="1"/>
    <xf numFmtId="41" fontId="11" fillId="0" borderId="0" xfId="0" applyNumberFormat="1" applyFont="1"/>
    <xf numFmtId="41" fontId="15" fillId="0" borderId="5" xfId="1" applyNumberFormat="1" applyFont="1" applyBorder="1"/>
    <xf numFmtId="0" fontId="9" fillId="0" borderId="5" xfId="0" applyFont="1" applyBorder="1" applyAlignment="1">
      <alignment horizontal="left" indent="1"/>
    </xf>
    <xf numFmtId="41" fontId="9" fillId="0" borderId="6" xfId="0" applyNumberFormat="1" applyFont="1" applyBorder="1"/>
    <xf numFmtId="41" fontId="9" fillId="0" borderId="5" xfId="0" applyNumberFormat="1" applyFont="1" applyBorder="1"/>
    <xf numFmtId="41" fontId="15" fillId="0" borderId="7" xfId="1" applyNumberFormat="1" applyFont="1" applyBorder="1"/>
    <xf numFmtId="0" fontId="11" fillId="0" borderId="0" xfId="0" applyFont="1" applyAlignment="1">
      <alignment horizontal="left" indent="1"/>
    </xf>
    <xf numFmtId="0" fontId="9" fillId="0" borderId="0" xfId="0" applyFont="1" applyAlignment="1">
      <alignment horizontal="left" indent="1"/>
    </xf>
    <xf numFmtId="0" fontId="9" fillId="0" borderId="9" xfId="0" applyFont="1" applyBorder="1" applyAlignment="1">
      <alignment horizontal="left" indent="1"/>
    </xf>
    <xf numFmtId="41" fontId="15" fillId="0" borderId="9" xfId="1" applyNumberFormat="1" applyFont="1" applyBorder="1"/>
    <xf numFmtId="41" fontId="15" fillId="0" borderId="8" xfId="1" applyNumberFormat="1" applyFont="1" applyBorder="1"/>
    <xf numFmtId="0" fontId="9" fillId="0" borderId="0" xfId="0" applyFont="1" applyAlignment="1">
      <alignment horizontal="left"/>
    </xf>
    <xf numFmtId="37" fontId="9" fillId="0" borderId="0" xfId="0" applyNumberFormat="1" applyFont="1" applyAlignment="1">
      <alignment horizontal="left"/>
    </xf>
    <xf numFmtId="37" fontId="11" fillId="0" borderId="0" xfId="0" applyNumberFormat="1" applyFont="1" applyAlignment="1">
      <alignment horizontal="left" indent="1"/>
    </xf>
    <xf numFmtId="37" fontId="9" fillId="0" borderId="10" xfId="0" applyNumberFormat="1" applyFont="1" applyBorder="1" applyAlignment="1">
      <alignment horizontal="left"/>
    </xf>
    <xf numFmtId="37" fontId="11" fillId="0" borderId="0" xfId="0" applyNumberFormat="1" applyFont="1" applyAlignment="1">
      <alignment horizontal="left"/>
    </xf>
    <xf numFmtId="0" fontId="10" fillId="2" borderId="0" xfId="0" applyFont="1" applyFill="1"/>
    <xf numFmtId="0" fontId="11" fillId="0" borderId="11" xfId="0" applyFont="1" applyBorder="1"/>
    <xf numFmtId="0" fontId="11" fillId="0" borderId="14" xfId="0" applyFont="1" applyBorder="1"/>
    <xf numFmtId="37" fontId="11" fillId="0" borderId="11" xfId="0" applyNumberFormat="1" applyFont="1" applyBorder="1" applyAlignment="1">
      <alignment horizontal="left"/>
    </xf>
    <xf numFmtId="37" fontId="11" fillId="0" borderId="14" xfId="0" applyNumberFormat="1" applyFont="1" applyBorder="1" applyAlignment="1">
      <alignment horizontal="left" indent="1"/>
    </xf>
    <xf numFmtId="37" fontId="11" fillId="0" borderId="14" xfId="0" applyNumberFormat="1" applyFont="1" applyBorder="1" applyAlignment="1">
      <alignment horizontal="left"/>
    </xf>
    <xf numFmtId="37" fontId="11" fillId="0" borderId="16" xfId="0" applyNumberFormat="1" applyFont="1" applyBorder="1" applyAlignment="1">
      <alignment horizontal="left" indent="1"/>
    </xf>
    <xf numFmtId="164" fontId="12" fillId="0" borderId="12" xfId="2" applyNumberFormat="1" applyFont="1" applyBorder="1"/>
    <xf numFmtId="0" fontId="11" fillId="0" borderId="12" xfId="0" applyFont="1" applyBorder="1"/>
    <xf numFmtId="0" fontId="11" fillId="0" borderId="13" xfId="0" applyFont="1" applyBorder="1"/>
    <xf numFmtId="0" fontId="11" fillId="0" borderId="15" xfId="0" applyFont="1" applyBorder="1"/>
    <xf numFmtId="165" fontId="16" fillId="0" borderId="0" xfId="0" applyNumberFormat="1" applyFont="1"/>
    <xf numFmtId="165" fontId="16" fillId="0" borderId="15" xfId="0" applyNumberFormat="1" applyFont="1" applyBorder="1"/>
    <xf numFmtId="37" fontId="11" fillId="0" borderId="12" xfId="0" applyNumberFormat="1" applyFont="1" applyBorder="1" applyAlignment="1">
      <alignment horizontal="left"/>
    </xf>
    <xf numFmtId="165" fontId="16" fillId="10" borderId="12" xfId="0" applyNumberFormat="1" applyFont="1" applyFill="1" applyBorder="1"/>
    <xf numFmtId="165" fontId="11" fillId="0" borderId="12" xfId="0" applyNumberFormat="1" applyFont="1" applyBorder="1"/>
    <xf numFmtId="165" fontId="17" fillId="0" borderId="12" xfId="0" applyNumberFormat="1" applyFont="1" applyBorder="1"/>
    <xf numFmtId="165" fontId="17" fillId="0" borderId="13" xfId="0" applyNumberFormat="1" applyFont="1" applyBorder="1"/>
    <xf numFmtId="165" fontId="11" fillId="0" borderId="0" xfId="0" applyNumberFormat="1" applyFont="1"/>
    <xf numFmtId="165" fontId="17" fillId="0" borderId="0" xfId="0" applyNumberFormat="1" applyFont="1"/>
    <xf numFmtId="165" fontId="17" fillId="0" borderId="15" xfId="0" applyNumberFormat="1" applyFont="1" applyBorder="1"/>
    <xf numFmtId="37" fontId="11" fillId="0" borderId="17" xfId="0" applyNumberFormat="1" applyFont="1" applyBorder="1" applyAlignment="1">
      <alignment horizontal="left" indent="1"/>
    </xf>
    <xf numFmtId="165" fontId="16" fillId="10" borderId="17" xfId="0" applyNumberFormat="1" applyFont="1" applyFill="1" applyBorder="1"/>
    <xf numFmtId="165" fontId="17" fillId="0" borderId="17" xfId="0" applyNumberFormat="1" applyFont="1" applyBorder="1"/>
    <xf numFmtId="165" fontId="17" fillId="0" borderId="18" xfId="0" applyNumberFormat="1" applyFont="1" applyBorder="1"/>
    <xf numFmtId="37" fontId="12" fillId="0" borderId="0" xfId="0" applyNumberFormat="1" applyFont="1"/>
    <xf numFmtId="10" fontId="12" fillId="0" borderId="12" xfId="2" applyNumberFormat="1" applyFont="1" applyBorder="1"/>
    <xf numFmtId="167" fontId="12" fillId="0" borderId="12" xfId="2" applyNumberFormat="1" applyFont="1" applyBorder="1"/>
    <xf numFmtId="37" fontId="9" fillId="0" borderId="12" xfId="0" applyNumberFormat="1" applyFont="1" applyBorder="1" applyAlignment="1">
      <alignment horizontal="left"/>
    </xf>
    <xf numFmtId="37" fontId="9" fillId="0" borderId="19" xfId="0" applyNumberFormat="1" applyFont="1" applyBorder="1" applyAlignment="1">
      <alignment horizontal="left"/>
    </xf>
    <xf numFmtId="168" fontId="11" fillId="0" borderId="0" xfId="0" applyNumberFormat="1" applyFont="1" applyAlignment="1">
      <alignment horizontal="left"/>
    </xf>
    <xf numFmtId="0" fontId="9" fillId="0" borderId="19" xfId="0" applyFont="1" applyBorder="1"/>
    <xf numFmtId="0" fontId="9" fillId="4" borderId="15" xfId="0" applyFont="1" applyFill="1" applyBorder="1" applyAlignment="1">
      <alignment horizontal="centerContinuous"/>
    </xf>
    <xf numFmtId="0" fontId="10" fillId="2" borderId="15" xfId="0" applyFont="1" applyFill="1" applyBorder="1" applyAlignment="1">
      <alignment horizontal="right"/>
    </xf>
    <xf numFmtId="165" fontId="11" fillId="0" borderId="5" xfId="0" applyNumberFormat="1" applyFont="1" applyBorder="1"/>
    <xf numFmtId="165" fontId="17" fillId="0" borderId="5" xfId="0" applyNumberFormat="1" applyFont="1" applyBorder="1"/>
    <xf numFmtId="165" fontId="17" fillId="0" borderId="22" xfId="0" applyNumberFormat="1" applyFont="1" applyBorder="1"/>
    <xf numFmtId="165" fontId="17" fillId="0" borderId="24" xfId="0" applyNumberFormat="1" applyFont="1" applyBorder="1"/>
    <xf numFmtId="41" fontId="17" fillId="0" borderId="26" xfId="0" applyNumberFormat="1" applyFont="1" applyBorder="1" applyAlignment="1">
      <alignment horizontal="left" indent="1"/>
    </xf>
    <xf numFmtId="41" fontId="15" fillId="0" borderId="26" xfId="0" applyNumberFormat="1" applyFont="1" applyBorder="1" applyAlignment="1">
      <alignment horizontal="left" indent="1"/>
    </xf>
    <xf numFmtId="41" fontId="15" fillId="0" borderId="28" xfId="0" applyNumberFormat="1" applyFont="1" applyBorder="1" applyAlignment="1">
      <alignment horizontal="left" indent="1"/>
    </xf>
    <xf numFmtId="41" fontId="15" fillId="0" borderId="29" xfId="0" applyNumberFormat="1" applyFont="1" applyBorder="1" applyAlignment="1">
      <alignment horizontal="left" indent="1"/>
    </xf>
    <xf numFmtId="37" fontId="11" fillId="0" borderId="0" xfId="0" applyNumberFormat="1" applyFont="1"/>
    <xf numFmtId="0" fontId="15" fillId="8" borderId="0" xfId="0" applyFont="1" applyFill="1" applyAlignment="1">
      <alignment horizontal="centerContinuous"/>
    </xf>
    <xf numFmtId="164" fontId="17" fillId="0" borderId="5" xfId="2" applyNumberFormat="1" applyFont="1" applyBorder="1"/>
    <xf numFmtId="164" fontId="17" fillId="0" borderId="22" xfId="2" applyNumberFormat="1" applyFont="1" applyBorder="1"/>
    <xf numFmtId="165" fontId="12" fillId="0" borderId="0" xfId="0" applyNumberFormat="1" applyFont="1"/>
    <xf numFmtId="41" fontId="17" fillId="0" borderId="0" xfId="1" applyNumberFormat="1" applyFont="1"/>
    <xf numFmtId="41" fontId="17" fillId="0" borderId="5" xfId="0" applyNumberFormat="1" applyFont="1" applyBorder="1"/>
    <xf numFmtId="41" fontId="19" fillId="0" borderId="0" xfId="1" applyNumberFormat="1" applyFont="1"/>
    <xf numFmtId="165" fontId="11" fillId="0" borderId="30" xfId="0" applyNumberFormat="1" applyFont="1" applyBorder="1"/>
    <xf numFmtId="165" fontId="12" fillId="0" borderId="15" xfId="0" applyNumberFormat="1" applyFont="1" applyBorder="1"/>
    <xf numFmtId="41" fontId="12" fillId="0" borderId="0" xfId="0" applyNumberFormat="1" applyFont="1" applyAlignment="1">
      <alignment horizontal="left" indent="1"/>
    </xf>
    <xf numFmtId="41" fontId="12" fillId="0" borderId="15" xfId="0" applyNumberFormat="1" applyFont="1" applyBorder="1" applyAlignment="1">
      <alignment horizontal="left" indent="1"/>
    </xf>
    <xf numFmtId="41" fontId="17" fillId="0" borderId="31" xfId="0" applyNumberFormat="1" applyFont="1" applyBorder="1" applyAlignment="1">
      <alignment horizontal="left" indent="1"/>
    </xf>
    <xf numFmtId="165" fontId="12" fillId="0" borderId="31" xfId="0" applyNumberFormat="1" applyFont="1" applyBorder="1"/>
    <xf numFmtId="165" fontId="17" fillId="0" borderId="30" xfId="0" applyNumberFormat="1" applyFont="1" applyBorder="1"/>
    <xf numFmtId="164" fontId="17" fillId="0" borderId="5" xfId="2" applyNumberFormat="1" applyFont="1" applyFill="1" applyBorder="1"/>
    <xf numFmtId="164" fontId="17" fillId="0" borderId="30" xfId="2" applyNumberFormat="1" applyFont="1" applyFill="1" applyBorder="1"/>
    <xf numFmtId="164" fontId="17" fillId="0" borderId="0" xfId="2" applyNumberFormat="1" applyFont="1" applyFill="1" applyBorder="1"/>
    <xf numFmtId="164" fontId="17" fillId="0" borderId="15" xfId="2" applyNumberFormat="1" applyFont="1" applyFill="1" applyBorder="1"/>
    <xf numFmtId="0" fontId="20" fillId="2" borderId="0" xfId="0" applyFont="1" applyFill="1"/>
    <xf numFmtId="0" fontId="18" fillId="2" borderId="0" xfId="0" applyFont="1" applyFill="1"/>
    <xf numFmtId="0" fontId="21" fillId="2" borderId="0" xfId="0" applyFont="1" applyFill="1"/>
    <xf numFmtId="0" fontId="22" fillId="2" borderId="0" xfId="0" applyFont="1" applyFill="1"/>
    <xf numFmtId="164" fontId="11" fillId="0" borderId="0" xfId="2" applyNumberFormat="1" applyFont="1" applyBorder="1"/>
    <xf numFmtId="164" fontId="11" fillId="0" borderId="15" xfId="2" applyNumberFormat="1" applyFont="1" applyBorder="1"/>
    <xf numFmtId="164" fontId="17" fillId="0" borderId="0" xfId="2" applyNumberFormat="1" applyFont="1" applyBorder="1"/>
    <xf numFmtId="164" fontId="11" fillId="0" borderId="24" xfId="0" applyNumberFormat="1" applyFont="1" applyBorder="1"/>
    <xf numFmtId="41" fontId="23" fillId="0" borderId="26" xfId="0" applyNumberFormat="1" applyFont="1" applyBorder="1" applyAlignment="1">
      <alignment horizontal="left" indent="1"/>
    </xf>
    <xf numFmtId="41" fontId="23" fillId="0" borderId="31" xfId="0" applyNumberFormat="1" applyFont="1" applyBorder="1" applyAlignment="1">
      <alignment horizontal="left" indent="1"/>
    </xf>
    <xf numFmtId="41" fontId="23" fillId="0" borderId="28" xfId="0" applyNumberFormat="1" applyFont="1" applyBorder="1" applyAlignment="1">
      <alignment horizontal="left" indent="1"/>
    </xf>
    <xf numFmtId="41" fontId="23" fillId="0" borderId="32" xfId="0" applyNumberFormat="1" applyFont="1" applyBorder="1" applyAlignment="1">
      <alignment horizontal="left" indent="1"/>
    </xf>
    <xf numFmtId="41" fontId="9" fillId="0" borderId="0" xfId="0" applyNumberFormat="1" applyFont="1"/>
    <xf numFmtId="41" fontId="11" fillId="0" borderId="15" xfId="0" applyNumberFormat="1" applyFont="1" applyBorder="1"/>
    <xf numFmtId="41" fontId="19" fillId="0" borderId="0" xfId="0" applyNumberFormat="1" applyFont="1"/>
    <xf numFmtId="41" fontId="11" fillId="0" borderId="17" xfId="0" applyNumberFormat="1" applyFont="1" applyBorder="1"/>
    <xf numFmtId="41" fontId="11" fillId="0" borderId="18" xfId="0" applyNumberFormat="1" applyFont="1" applyBorder="1"/>
    <xf numFmtId="41" fontId="19" fillId="0" borderId="17" xfId="0" applyNumberFormat="1" applyFont="1" applyBorder="1"/>
    <xf numFmtId="41" fontId="11" fillId="0" borderId="12" xfId="0" applyNumberFormat="1" applyFont="1" applyBorder="1"/>
    <xf numFmtId="41" fontId="11" fillId="0" borderId="13" xfId="0" applyNumberFormat="1" applyFont="1" applyBorder="1"/>
    <xf numFmtId="41" fontId="9" fillId="0" borderId="12" xfId="0" applyNumberFormat="1" applyFont="1" applyBorder="1"/>
    <xf numFmtId="41" fontId="11" fillId="0" borderId="19" xfId="0" applyNumberFormat="1" applyFont="1" applyBorder="1"/>
    <xf numFmtId="41" fontId="11" fillId="0" borderId="20" xfId="0" applyNumberFormat="1" applyFont="1" applyBorder="1"/>
    <xf numFmtId="41" fontId="9" fillId="0" borderId="19" xfId="0" applyNumberFormat="1" applyFont="1" applyBorder="1"/>
    <xf numFmtId="41" fontId="17" fillId="0" borderId="0" xfId="0" applyNumberFormat="1" applyFont="1" applyAlignment="1">
      <alignment horizontal="left" indent="1"/>
    </xf>
    <xf numFmtId="41" fontId="17" fillId="0" borderId="15" xfId="0" applyNumberFormat="1" applyFont="1" applyBorder="1" applyAlignment="1">
      <alignment horizontal="left" indent="1"/>
    </xf>
    <xf numFmtId="41" fontId="17" fillId="0" borderId="24" xfId="0" applyNumberFormat="1" applyFont="1" applyBorder="1" applyAlignment="1">
      <alignment horizontal="left" indent="1"/>
    </xf>
    <xf numFmtId="165" fontId="16" fillId="10" borderId="0" xfId="0" applyNumberFormat="1" applyFont="1" applyFill="1"/>
    <xf numFmtId="165" fontId="12" fillId="0" borderId="12" xfId="0" applyNumberFormat="1" applyFont="1" applyBorder="1"/>
    <xf numFmtId="37" fontId="11" fillId="0" borderId="33" xfId="0" applyNumberFormat="1" applyFont="1" applyBorder="1" applyAlignment="1">
      <alignment horizontal="left" indent="1"/>
    </xf>
    <xf numFmtId="37" fontId="11" fillId="0" borderId="19" xfId="0" applyNumberFormat="1" applyFont="1" applyBorder="1" applyAlignment="1">
      <alignment horizontal="left" indent="1"/>
    </xf>
    <xf numFmtId="165" fontId="16" fillId="10" borderId="19" xfId="0" applyNumberFormat="1" applyFont="1" applyFill="1" applyBorder="1"/>
    <xf numFmtId="165" fontId="17" fillId="0" borderId="19" xfId="0" applyNumberFormat="1" applyFont="1" applyBorder="1"/>
    <xf numFmtId="165" fontId="17" fillId="0" borderId="20" xfId="0" applyNumberFormat="1" applyFont="1" applyBorder="1"/>
    <xf numFmtId="165" fontId="16" fillId="10" borderId="13" xfId="0" applyNumberFormat="1" applyFont="1" applyFill="1" applyBorder="1"/>
    <xf numFmtId="165" fontId="16" fillId="10" borderId="15" xfId="0" applyNumberFormat="1" applyFont="1" applyFill="1" applyBorder="1"/>
    <xf numFmtId="165" fontId="16" fillId="10" borderId="18" xfId="0" applyNumberFormat="1" applyFont="1" applyFill="1" applyBorder="1"/>
    <xf numFmtId="165" fontId="16" fillId="10" borderId="20" xfId="0" applyNumberFormat="1" applyFont="1" applyFill="1" applyBorder="1"/>
    <xf numFmtId="164" fontId="17" fillId="0" borderId="15" xfId="2" applyNumberFormat="1" applyFont="1" applyBorder="1"/>
    <xf numFmtId="0" fontId="11" fillId="0" borderId="1" xfId="0" applyFont="1" applyBorder="1"/>
    <xf numFmtId="0" fontId="11" fillId="4" borderId="0" xfId="0" applyFont="1" applyFill="1"/>
    <xf numFmtId="0" fontId="24" fillId="0" borderId="0" xfId="0" applyFont="1" applyAlignment="1">
      <alignment horizontal="left" indent="1"/>
    </xf>
    <xf numFmtId="41" fontId="25" fillId="0" borderId="0" xfId="0" applyNumberFormat="1" applyFont="1"/>
    <xf numFmtId="166" fontId="11" fillId="0" borderId="0" xfId="0" applyNumberFormat="1" applyFont="1"/>
    <xf numFmtId="41" fontId="11" fillId="0" borderId="0" xfId="2" applyNumberFormat="1" applyFont="1"/>
    <xf numFmtId="3" fontId="12" fillId="0" borderId="0" xfId="0" applyNumberFormat="1" applyFont="1"/>
    <xf numFmtId="165" fontId="16" fillId="9" borderId="12" xfId="0" applyNumberFormat="1" applyFont="1" applyFill="1" applyBorder="1"/>
    <xf numFmtId="165" fontId="16" fillId="9" borderId="13" xfId="0" applyNumberFormat="1" applyFont="1" applyFill="1" applyBorder="1"/>
    <xf numFmtId="165" fontId="17" fillId="0" borderId="12" xfId="0" applyNumberFormat="1" applyFont="1" applyBorder="1" applyAlignment="1">
      <alignment horizontal="right"/>
    </xf>
    <xf numFmtId="165" fontId="17" fillId="0" borderId="13" xfId="0" applyNumberFormat="1" applyFont="1" applyBorder="1" applyAlignment="1">
      <alignment horizontal="right"/>
    </xf>
    <xf numFmtId="165" fontId="16" fillId="9" borderId="0" xfId="0" applyNumberFormat="1" applyFont="1" applyFill="1"/>
    <xf numFmtId="165" fontId="16" fillId="9" borderId="15" xfId="0" applyNumberFormat="1" applyFont="1" applyFill="1" applyBorder="1"/>
    <xf numFmtId="165" fontId="16" fillId="0" borderId="0" xfId="0" applyNumberFormat="1" applyFont="1" applyAlignment="1">
      <alignment horizontal="right"/>
    </xf>
    <xf numFmtId="165" fontId="17" fillId="0" borderId="0" xfId="0" applyNumberFormat="1" applyFont="1" applyAlignment="1">
      <alignment horizontal="right"/>
    </xf>
    <xf numFmtId="165" fontId="16" fillId="9" borderId="17" xfId="0" applyNumberFormat="1" applyFont="1" applyFill="1" applyBorder="1"/>
    <xf numFmtId="165" fontId="16" fillId="9" borderId="18" xfId="0" applyNumberFormat="1" applyFont="1" applyFill="1" applyBorder="1"/>
    <xf numFmtId="165" fontId="17" fillId="0" borderId="17" xfId="0" applyNumberFormat="1" applyFont="1" applyBorder="1" applyAlignment="1">
      <alignment horizontal="right"/>
    </xf>
    <xf numFmtId="165" fontId="17" fillId="0" borderId="18" xfId="0" applyNumberFormat="1" applyFont="1" applyBorder="1" applyAlignment="1">
      <alignment horizontal="right"/>
    </xf>
    <xf numFmtId="0" fontId="11" fillId="0" borderId="10" xfId="0" applyFont="1" applyBorder="1"/>
    <xf numFmtId="0" fontId="11" fillId="0" borderId="34" xfId="0" applyFont="1" applyBorder="1"/>
    <xf numFmtId="41" fontId="11" fillId="0" borderId="10" xfId="0" applyNumberFormat="1" applyFont="1" applyBorder="1"/>
    <xf numFmtId="0" fontId="11" fillId="0" borderId="17" xfId="0" applyFont="1" applyBorder="1"/>
    <xf numFmtId="165" fontId="11" fillId="0" borderId="17" xfId="0" applyNumberFormat="1" applyFont="1" applyBorder="1"/>
    <xf numFmtId="0" fontId="11" fillId="0" borderId="21" xfId="0" applyFont="1" applyBorder="1"/>
    <xf numFmtId="0" fontId="11" fillId="0" borderId="23" xfId="0" applyFont="1" applyBorder="1"/>
    <xf numFmtId="0" fontId="11" fillId="0" borderId="25" xfId="0" applyFont="1" applyBorder="1"/>
    <xf numFmtId="0" fontId="9" fillId="0" borderId="25" xfId="0" applyFont="1" applyBorder="1"/>
    <xf numFmtId="164" fontId="11" fillId="0" borderId="26" xfId="2" applyNumberFormat="1" applyFont="1" applyBorder="1"/>
    <xf numFmtId="164" fontId="11" fillId="0" borderId="31" xfId="2" applyNumberFormat="1" applyFont="1" applyBorder="1"/>
    <xf numFmtId="164" fontId="11" fillId="0" borderId="26" xfId="0" applyNumberFormat="1" applyFont="1" applyBorder="1"/>
    <xf numFmtId="164" fontId="11" fillId="0" borderId="27" xfId="0" applyNumberFormat="1" applyFont="1" applyBorder="1"/>
    <xf numFmtId="41" fontId="12" fillId="0" borderId="15" xfId="1" applyNumberFormat="1" applyFont="1" applyBorder="1"/>
    <xf numFmtId="41" fontId="9" fillId="0" borderId="30" xfId="0" applyNumberFormat="1" applyFont="1" applyBorder="1"/>
    <xf numFmtId="41" fontId="25" fillId="0" borderId="15" xfId="0" applyNumberFormat="1" applyFont="1" applyBorder="1"/>
    <xf numFmtId="166" fontId="11" fillId="0" borderId="15" xfId="0" applyNumberFormat="1" applyFont="1" applyBorder="1"/>
    <xf numFmtId="41" fontId="11" fillId="0" borderId="15" xfId="2" applyNumberFormat="1" applyFont="1" applyBorder="1"/>
    <xf numFmtId="0" fontId="11" fillId="0" borderId="33" xfId="0" applyFont="1" applyBorder="1"/>
    <xf numFmtId="37" fontId="26" fillId="9" borderId="12" xfId="0" applyNumberFormat="1" applyFont="1" applyFill="1" applyBorder="1"/>
    <xf numFmtId="37" fontId="26" fillId="9" borderId="17" xfId="0" applyNumberFormat="1" applyFont="1" applyFill="1" applyBorder="1"/>
    <xf numFmtId="37" fontId="26" fillId="9" borderId="0" xfId="0" applyNumberFormat="1" applyFont="1" applyFill="1"/>
    <xf numFmtId="0" fontId="11" fillId="0" borderId="16" xfId="0" applyFont="1" applyBorder="1"/>
    <xf numFmtId="169" fontId="10" fillId="2" borderId="0" xfId="0" applyNumberFormat="1" applyFont="1" applyFill="1" applyAlignment="1">
      <alignment horizontal="right"/>
    </xf>
    <xf numFmtId="37" fontId="26" fillId="9" borderId="13" xfId="0" applyNumberFormat="1" applyFont="1" applyFill="1" applyBorder="1"/>
    <xf numFmtId="37" fontId="26" fillId="9" borderId="15" xfId="0" applyNumberFormat="1" applyFont="1" applyFill="1" applyBorder="1"/>
    <xf numFmtId="37" fontId="26" fillId="9" borderId="18" xfId="0" applyNumberFormat="1" applyFont="1" applyFill="1" applyBorder="1"/>
    <xf numFmtId="9" fontId="11" fillId="0" borderId="0" xfId="0" applyNumberFormat="1" applyFont="1"/>
    <xf numFmtId="9" fontId="11" fillId="0" borderId="15" xfId="0" applyNumberFormat="1" applyFont="1" applyBorder="1"/>
    <xf numFmtId="9" fontId="12" fillId="0" borderId="0" xfId="0" applyNumberFormat="1" applyFont="1"/>
    <xf numFmtId="10" fontId="11" fillId="0" borderId="0" xfId="0" applyNumberFormat="1" applyFont="1"/>
    <xf numFmtId="165" fontId="16" fillId="0" borderId="15" xfId="0" applyNumberFormat="1" applyFont="1" applyBorder="1" applyAlignment="1">
      <alignment horizontal="right"/>
    </xf>
    <xf numFmtId="41" fontId="19" fillId="0" borderId="1" xfId="0" applyNumberFormat="1" applyFont="1" applyBorder="1"/>
    <xf numFmtId="43" fontId="11" fillId="0" borderId="0" xfId="0" applyNumberFormat="1" applyFont="1"/>
    <xf numFmtId="170" fontId="11" fillId="0" borderId="0" xfId="0" applyNumberFormat="1" applyFont="1"/>
    <xf numFmtId="165" fontId="12" fillId="0" borderId="5" xfId="0" applyNumberFormat="1" applyFont="1" applyBorder="1"/>
    <xf numFmtId="8" fontId="11" fillId="0" borderId="0" xfId="0" applyNumberFormat="1" applyFont="1"/>
    <xf numFmtId="9" fontId="12" fillId="0" borderId="20" xfId="0" applyNumberFormat="1" applyFont="1" applyBorder="1"/>
    <xf numFmtId="41" fontId="27" fillId="0" borderId="0" xfId="0" applyNumberFormat="1" applyFont="1"/>
    <xf numFmtId="10" fontId="12" fillId="0" borderId="0" xfId="2" applyNumberFormat="1" applyFont="1" applyFill="1"/>
    <xf numFmtId="17" fontId="12" fillId="0" borderId="0" xfId="0" applyNumberFormat="1" applyFont="1"/>
    <xf numFmtId="9" fontId="12" fillId="0" borderId="3" xfId="2" applyFont="1" applyBorder="1"/>
    <xf numFmtId="0" fontId="12" fillId="0" borderId="3" xfId="0" applyFont="1" applyBorder="1"/>
    <xf numFmtId="0" fontId="12" fillId="0" borderId="4" xfId="0" applyFont="1" applyBorder="1"/>
    <xf numFmtId="41" fontId="12" fillId="0" borderId="3" xfId="0" applyNumberFormat="1" applyFont="1" applyBorder="1"/>
    <xf numFmtId="41" fontId="27" fillId="0" borderId="15" xfId="0" applyNumberFormat="1" applyFont="1" applyBorder="1"/>
    <xf numFmtId="41" fontId="17" fillId="0" borderId="0" xfId="0" applyNumberFormat="1" applyFont="1"/>
    <xf numFmtId="10" fontId="12" fillId="0" borderId="0" xfId="2" applyNumberFormat="1" applyFont="1"/>
    <xf numFmtId="0" fontId="11" fillId="9" borderId="0" xfId="0" applyFont="1" applyFill="1"/>
    <xf numFmtId="0" fontId="11" fillId="9" borderId="15" xfId="0" applyFont="1" applyFill="1" applyBorder="1"/>
    <xf numFmtId="10" fontId="12" fillId="0" borderId="0" xfId="0" applyNumberFormat="1" applyFont="1"/>
    <xf numFmtId="10" fontId="12" fillId="0" borderId="0" xfId="2" applyNumberFormat="1" applyFont="1" applyFill="1" applyBorder="1"/>
    <xf numFmtId="0" fontId="28" fillId="0" borderId="14" xfId="0" applyFont="1" applyBorder="1" applyAlignment="1">
      <alignment horizontal="left" indent="1"/>
    </xf>
    <xf numFmtId="171" fontId="11" fillId="0" borderId="0" xfId="0" applyNumberFormat="1" applyFont="1"/>
    <xf numFmtId="164" fontId="12" fillId="0" borderId="0" xfId="2" applyNumberFormat="1" applyFont="1" applyBorder="1"/>
    <xf numFmtId="172" fontId="12" fillId="0" borderId="0" xfId="2" applyNumberFormat="1" applyFont="1"/>
    <xf numFmtId="173" fontId="12" fillId="0" borderId="0" xfId="2" applyNumberFormat="1" applyFont="1" applyFill="1" applyBorder="1"/>
    <xf numFmtId="174" fontId="11" fillId="0" borderId="1" xfId="0" applyNumberFormat="1" applyFont="1" applyBorder="1"/>
    <xf numFmtId="174" fontId="11" fillId="0" borderId="0" xfId="0" applyNumberFormat="1" applyFont="1"/>
    <xf numFmtId="173" fontId="12" fillId="0" borderId="12" xfId="2" applyNumberFormat="1" applyFont="1" applyFill="1" applyBorder="1"/>
    <xf numFmtId="44" fontId="11" fillId="0" borderId="0" xfId="1" applyFont="1"/>
    <xf numFmtId="44" fontId="11" fillId="0" borderId="0" xfId="0" applyNumberFormat="1" applyFont="1"/>
    <xf numFmtId="167" fontId="12" fillId="0" borderId="0" xfId="2" applyNumberFormat="1" applyFont="1" applyFill="1" applyAlignment="1">
      <alignment horizontal="right"/>
    </xf>
    <xf numFmtId="10" fontId="12" fillId="9" borderId="12" xfId="2" applyNumberFormat="1" applyFont="1" applyFill="1" applyBorder="1"/>
    <xf numFmtId="0" fontId="18" fillId="0" borderId="0" xfId="0" applyFont="1"/>
    <xf numFmtId="0" fontId="30" fillId="2" borderId="0" xfId="0" applyFont="1" applyFill="1"/>
    <xf numFmtId="0" fontId="11" fillId="2" borderId="0" xfId="0" applyFont="1" applyFill="1"/>
    <xf numFmtId="0" fontId="31" fillId="2" borderId="0" xfId="0" applyFont="1" applyFill="1"/>
    <xf numFmtId="166" fontId="11" fillId="0" borderId="1" xfId="2" applyNumberFormat="1" applyFont="1" applyBorder="1"/>
    <xf numFmtId="166" fontId="11" fillId="0" borderId="0" xfId="2" applyNumberFormat="1" applyFont="1" applyBorder="1"/>
    <xf numFmtId="0" fontId="34" fillId="2" borderId="0" xfId="0" applyFont="1" applyFill="1" applyAlignment="1">
      <alignment horizontal="center"/>
    </xf>
    <xf numFmtId="0" fontId="35" fillId="0" borderId="0" xfId="0" applyFont="1" applyAlignment="1">
      <alignment horizontal="left" indent="1"/>
    </xf>
    <xf numFmtId="0" fontId="36" fillId="0" borderId="0" xfId="0" applyFont="1"/>
    <xf numFmtId="0" fontId="36" fillId="0" borderId="12" xfId="0" applyFont="1" applyBorder="1"/>
    <xf numFmtId="0" fontId="18" fillId="0" borderId="12" xfId="0" applyFont="1" applyBorder="1"/>
    <xf numFmtId="0" fontId="0" fillId="0" borderId="17" xfId="0" applyBorder="1"/>
    <xf numFmtId="0" fontId="36" fillId="0" borderId="11" xfId="0" applyFont="1" applyBorder="1"/>
    <xf numFmtId="0" fontId="0" fillId="0" borderId="14" xfId="0" applyBorder="1"/>
    <xf numFmtId="0" fontId="18" fillId="0" borderId="14" xfId="0" applyFont="1" applyBorder="1"/>
    <xf numFmtId="0" fontId="35" fillId="0" borderId="14" xfId="0" applyFont="1" applyBorder="1" applyAlignment="1">
      <alignment horizontal="left" indent="1"/>
    </xf>
    <xf numFmtId="0" fontId="35" fillId="0" borderId="14" xfId="0" applyFont="1" applyBorder="1" applyAlignment="1">
      <alignment horizontal="left" indent="2"/>
    </xf>
    <xf numFmtId="0" fontId="35" fillId="0" borderId="16" xfId="0" applyFont="1" applyBorder="1"/>
    <xf numFmtId="0" fontId="0" fillId="0" borderId="15" xfId="0" applyBorder="1"/>
    <xf numFmtId="0" fontId="0" fillId="0" borderId="18" xfId="0" applyBorder="1"/>
    <xf numFmtId="0" fontId="36" fillId="0" borderId="33" xfId="0" applyFont="1" applyBorder="1"/>
    <xf numFmtId="0" fontId="18" fillId="0" borderId="19" xfId="0" applyFont="1" applyBorder="1"/>
    <xf numFmtId="0" fontId="36" fillId="0" borderId="16" xfId="0" applyFont="1" applyBorder="1"/>
    <xf numFmtId="0" fontId="18" fillId="0" borderId="17" xfId="0" applyFont="1" applyBorder="1"/>
    <xf numFmtId="0" fontId="18" fillId="0" borderId="18" xfId="0" applyFont="1" applyBorder="1"/>
    <xf numFmtId="0" fontId="35" fillId="0" borderId="16" xfId="0" applyFont="1" applyBorder="1" applyAlignment="1">
      <alignment horizontal="left" indent="1"/>
    </xf>
    <xf numFmtId="0" fontId="18" fillId="0" borderId="19" xfId="0" applyFont="1" applyBorder="1" applyAlignment="1">
      <alignment horizontal="right"/>
    </xf>
    <xf numFmtId="0" fontId="18" fillId="0" borderId="20" xfId="0" applyFont="1" applyBorder="1" applyAlignment="1">
      <alignment horizontal="center"/>
    </xf>
    <xf numFmtId="0" fontId="0" fillId="0" borderId="12" xfId="0" applyBorder="1"/>
    <xf numFmtId="0" fontId="0" fillId="0" borderId="13" xfId="0" applyBorder="1"/>
    <xf numFmtId="0" fontId="32" fillId="0" borderId="11" xfId="0" applyFont="1" applyBorder="1"/>
    <xf numFmtId="0" fontId="37" fillId="0" borderId="14" xfId="0" applyFont="1" applyBorder="1" applyAlignment="1">
      <alignment horizontal="left" indent="1"/>
    </xf>
    <xf numFmtId="0" fontId="0" fillId="0" borderId="16" xfId="0" applyBorder="1"/>
    <xf numFmtId="0" fontId="0" fillId="0" borderId="11" xfId="0" applyBorder="1"/>
    <xf numFmtId="0" fontId="32" fillId="0" borderId="14" xfId="0" applyFont="1" applyBorder="1"/>
    <xf numFmtId="0" fontId="18" fillId="0" borderId="0" xfId="0" applyFont="1" applyAlignment="1">
      <alignment horizontal="left" indent="1"/>
    </xf>
    <xf numFmtId="0" fontId="18" fillId="0" borderId="0" xfId="0" applyFont="1" applyAlignment="1">
      <alignment horizontal="left" indent="2"/>
    </xf>
    <xf numFmtId="0" fontId="36" fillId="0" borderId="0" xfId="0" applyFont="1" applyAlignment="1">
      <alignment horizontal="center"/>
    </xf>
    <xf numFmtId="0" fontId="34" fillId="2" borderId="35" xfId="0" applyFont="1" applyFill="1" applyBorder="1" applyAlignment="1">
      <alignment horizontal="center"/>
    </xf>
    <xf numFmtId="0" fontId="34" fillId="2" borderId="36" xfId="0" applyFont="1" applyFill="1" applyBorder="1" applyAlignment="1">
      <alignment horizontal="center"/>
    </xf>
    <xf numFmtId="0" fontId="34" fillId="2" borderId="0" xfId="0" applyFont="1" applyFill="1"/>
    <xf numFmtId="0" fontId="36" fillId="0" borderId="19" xfId="0" applyFont="1" applyBorder="1"/>
    <xf numFmtId="0" fontId="36" fillId="0" borderId="17" xfId="0" applyFont="1" applyBorder="1"/>
    <xf numFmtId="0" fontId="38" fillId="2" borderId="0" xfId="0" applyFont="1" applyFill="1"/>
    <xf numFmtId="0" fontId="11" fillId="0" borderId="14" xfId="0" applyFont="1" applyBorder="1" applyAlignment="1">
      <alignment horizontal="left" indent="1"/>
    </xf>
    <xf numFmtId="0" fontId="11" fillId="0" borderId="16" xfId="0" applyFont="1" applyBorder="1" applyAlignment="1">
      <alignment horizontal="left" indent="1"/>
    </xf>
    <xf numFmtId="0" fontId="11" fillId="0" borderId="18" xfId="0" applyFont="1" applyBorder="1"/>
    <xf numFmtId="0" fontId="9" fillId="11" borderId="33" xfId="0" applyFont="1" applyFill="1" applyBorder="1"/>
    <xf numFmtId="0" fontId="11" fillId="11" borderId="19" xfId="0" applyFont="1" applyFill="1" applyBorder="1"/>
    <xf numFmtId="0" fontId="11" fillId="11" borderId="20" xfId="0" applyFont="1" applyFill="1" applyBorder="1"/>
    <xf numFmtId="0" fontId="9" fillId="0" borderId="41" xfId="0" applyFont="1" applyBorder="1"/>
    <xf numFmtId="0" fontId="11" fillId="0" borderId="28" xfId="0" applyFont="1" applyBorder="1"/>
    <xf numFmtId="44" fontId="0" fillId="0" borderId="18" xfId="1" applyFont="1" applyBorder="1"/>
    <xf numFmtId="2" fontId="0" fillId="0" borderId="15" xfId="0" applyNumberFormat="1" applyBorder="1"/>
    <xf numFmtId="2" fontId="0" fillId="0" borderId="18" xfId="0" applyNumberFormat="1" applyBorder="1"/>
    <xf numFmtId="1" fontId="0" fillId="0" borderId="18" xfId="0" applyNumberFormat="1" applyBorder="1"/>
    <xf numFmtId="1" fontId="0" fillId="0" borderId="15" xfId="0" applyNumberFormat="1" applyBorder="1"/>
    <xf numFmtId="0" fontId="39" fillId="0" borderId="15" xfId="0" applyFont="1" applyBorder="1"/>
    <xf numFmtId="0" fontId="39" fillId="0" borderId="0" xfId="0" applyFont="1"/>
    <xf numFmtId="44" fontId="39" fillId="0" borderId="0" xfId="1" applyFont="1"/>
    <xf numFmtId="175" fontId="0" fillId="0" borderId="15" xfId="1" applyNumberFormat="1" applyFont="1" applyBorder="1"/>
    <xf numFmtId="175" fontId="0" fillId="0" borderId="13" xfId="1" applyNumberFormat="1" applyFont="1" applyBorder="1"/>
    <xf numFmtId="175" fontId="0" fillId="0" borderId="13" xfId="0" applyNumberFormat="1" applyBorder="1"/>
    <xf numFmtId="175" fontId="0" fillId="0" borderId="15" xfId="0" applyNumberFormat="1" applyBorder="1"/>
    <xf numFmtId="1" fontId="0" fillId="0" borderId="13" xfId="0" applyNumberFormat="1" applyBorder="1"/>
    <xf numFmtId="175" fontId="0" fillId="0" borderId="18" xfId="0" applyNumberFormat="1" applyBorder="1"/>
    <xf numFmtId="175" fontId="18" fillId="0" borderId="17" xfId="0" applyNumberFormat="1" applyFont="1" applyBorder="1"/>
    <xf numFmtId="174" fontId="18" fillId="0" borderId="15" xfId="0" applyNumberFormat="1" applyFont="1" applyBorder="1"/>
    <xf numFmtId="176" fontId="18" fillId="0" borderId="15" xfId="0" applyNumberFormat="1" applyFont="1" applyBorder="1"/>
    <xf numFmtId="176" fontId="18" fillId="0" borderId="18" xfId="0" applyNumberFormat="1" applyFont="1" applyBorder="1"/>
    <xf numFmtId="175" fontId="18" fillId="0" borderId="0" xfId="0" applyNumberFormat="1" applyFont="1"/>
    <xf numFmtId="175" fontId="18" fillId="0" borderId="15" xfId="1" applyNumberFormat="1" applyFont="1" applyBorder="1"/>
    <xf numFmtId="177" fontId="18" fillId="0" borderId="15" xfId="0" applyNumberFormat="1" applyFont="1" applyBorder="1"/>
    <xf numFmtId="44" fontId="18" fillId="0" borderId="0" xfId="1" applyFont="1"/>
    <xf numFmtId="174" fontId="39" fillId="0" borderId="15" xfId="0" applyNumberFormat="1" applyFont="1" applyBorder="1"/>
    <xf numFmtId="44" fontId="1" fillId="0" borderId="18" xfId="1" applyFont="1" applyBorder="1"/>
    <xf numFmtId="41" fontId="18" fillId="0" borderId="0" xfId="0" applyNumberFormat="1" applyFont="1"/>
    <xf numFmtId="175" fontId="18" fillId="0" borderId="0" xfId="1" applyNumberFormat="1" applyFont="1"/>
    <xf numFmtId="175" fontId="18" fillId="0" borderId="19" xfId="1" applyNumberFormat="1" applyFont="1" applyBorder="1"/>
    <xf numFmtId="175" fontId="18" fillId="0" borderId="19" xfId="0" applyNumberFormat="1" applyFont="1" applyBorder="1"/>
    <xf numFmtId="41" fontId="18" fillId="0" borderId="17" xfId="0" applyNumberFormat="1" applyFont="1" applyBorder="1"/>
    <xf numFmtId="175" fontId="18" fillId="0" borderId="36" xfId="1" applyNumberFormat="1" applyFont="1" applyBorder="1"/>
    <xf numFmtId="175" fontId="18" fillId="0" borderId="35" xfId="1" applyNumberFormat="1" applyFont="1" applyBorder="1"/>
    <xf numFmtId="175" fontId="18" fillId="0" borderId="38" xfId="1" applyNumberFormat="1" applyFont="1" applyBorder="1"/>
    <xf numFmtId="175" fontId="18" fillId="0" borderId="37" xfId="1" applyNumberFormat="1" applyFont="1" applyBorder="1"/>
    <xf numFmtId="175" fontId="18" fillId="0" borderId="39" xfId="1" applyNumberFormat="1" applyFont="1" applyBorder="1"/>
    <xf numFmtId="175" fontId="18" fillId="0" borderId="17" xfId="1" applyNumberFormat="1" applyFont="1" applyBorder="1"/>
    <xf numFmtId="175" fontId="18" fillId="0" borderId="12" xfId="1" applyNumberFormat="1" applyFont="1" applyBorder="1"/>
    <xf numFmtId="41" fontId="18" fillId="0" borderId="12" xfId="0" applyNumberFormat="1" applyFont="1" applyBorder="1"/>
    <xf numFmtId="175" fontId="40" fillId="0" borderId="0" xfId="1" applyNumberFormat="1" applyFont="1"/>
    <xf numFmtId="41" fontId="40" fillId="0" borderId="0" xfId="0" applyNumberFormat="1" applyFont="1"/>
    <xf numFmtId="44" fontId="11" fillId="0" borderId="17" xfId="1" applyFont="1" applyBorder="1"/>
    <xf numFmtId="175" fontId="11" fillId="0" borderId="0" xfId="1" applyNumberFormat="1" applyFont="1"/>
    <xf numFmtId="175" fontId="11" fillId="0" borderId="0" xfId="0" applyNumberFormat="1" applyFont="1"/>
    <xf numFmtId="177" fontId="11" fillId="0" borderId="0" xfId="0" applyNumberFormat="1" applyFont="1"/>
    <xf numFmtId="175" fontId="11" fillId="0" borderId="12" xfId="0" applyNumberFormat="1" applyFont="1" applyBorder="1"/>
    <xf numFmtId="175" fontId="11" fillId="0" borderId="13" xfId="0" applyNumberFormat="1" applyFont="1" applyBorder="1"/>
    <xf numFmtId="175" fontId="11" fillId="0" borderId="15" xfId="0" applyNumberFormat="1" applyFont="1" applyBorder="1"/>
    <xf numFmtId="44" fontId="11" fillId="0" borderId="17" xfId="0" applyNumberFormat="1" applyFont="1" applyBorder="1"/>
    <xf numFmtId="175" fontId="11" fillId="0" borderId="17" xfId="0" applyNumberFormat="1" applyFont="1" applyBorder="1"/>
    <xf numFmtId="44" fontId="11" fillId="0" borderId="15" xfId="1" applyFont="1" applyBorder="1"/>
    <xf numFmtId="175" fontId="11" fillId="0" borderId="18" xfId="0" applyNumberFormat="1" applyFont="1" applyBorder="1"/>
    <xf numFmtId="44" fontId="11" fillId="0" borderId="18" xfId="0" applyNumberFormat="1" applyFont="1" applyBorder="1"/>
    <xf numFmtId="44" fontId="11" fillId="0" borderId="13" xfId="1" applyFont="1" applyBorder="1"/>
    <xf numFmtId="44" fontId="11" fillId="0" borderId="18" xfId="1" applyFont="1" applyBorder="1"/>
    <xf numFmtId="174" fontId="11" fillId="0" borderId="17" xfId="0" applyNumberFormat="1" applyFont="1" applyBorder="1"/>
    <xf numFmtId="175" fontId="11" fillId="0" borderId="0" xfId="1" applyNumberFormat="1" applyFont="1" applyBorder="1"/>
    <xf numFmtId="177" fontId="11" fillId="0" borderId="28" xfId="0" applyNumberFormat="1" applyFont="1" applyBorder="1"/>
    <xf numFmtId="0" fontId="38" fillId="0" borderId="0" xfId="0" applyFont="1"/>
    <xf numFmtId="9" fontId="11" fillId="0" borderId="28" xfId="2" applyFont="1" applyBorder="1"/>
    <xf numFmtId="174" fontId="19" fillId="0" borderId="0" xfId="0" applyNumberFormat="1" applyFont="1"/>
    <xf numFmtId="175" fontId="19" fillId="0" borderId="0" xfId="1" applyNumberFormat="1" applyFont="1"/>
    <xf numFmtId="175" fontId="19" fillId="0" borderId="0" xfId="1" applyNumberFormat="1" applyFont="1" applyBorder="1"/>
    <xf numFmtId="175" fontId="19" fillId="0" borderId="17" xfId="1" applyNumberFormat="1" applyFont="1" applyBorder="1"/>
    <xf numFmtId="177" fontId="19" fillId="0" borderId="0" xfId="0" applyNumberFormat="1" applyFont="1"/>
    <xf numFmtId="174" fontId="41" fillId="0" borderId="0" xfId="0" applyNumberFormat="1" applyFont="1"/>
    <xf numFmtId="177" fontId="41" fillId="0" borderId="0" xfId="0" applyNumberFormat="1" applyFont="1"/>
    <xf numFmtId="14" fontId="41" fillId="0" borderId="0" xfId="0" applyNumberFormat="1" applyFont="1"/>
    <xf numFmtId="0" fontId="41" fillId="0" borderId="0" xfId="0" applyFont="1" applyAlignment="1">
      <alignment horizontal="right"/>
    </xf>
    <xf numFmtId="10" fontId="41" fillId="0" borderId="0" xfId="0" applyNumberFormat="1" applyFont="1"/>
    <xf numFmtId="9" fontId="41" fillId="0" borderId="0" xfId="0" applyNumberFormat="1" applyFont="1"/>
    <xf numFmtId="44" fontId="40" fillId="0" borderId="0" xfId="0" applyNumberFormat="1" applyFont="1"/>
    <xf numFmtId="175" fontId="40" fillId="0" borderId="17" xfId="1" applyNumberFormat="1" applyFont="1" applyBorder="1"/>
    <xf numFmtId="175" fontId="40" fillId="0" borderId="35" xfId="1" applyNumberFormat="1" applyFont="1" applyBorder="1"/>
    <xf numFmtId="175" fontId="40" fillId="0" borderId="36" xfId="1" applyNumberFormat="1" applyFont="1" applyBorder="1"/>
    <xf numFmtId="175" fontId="40" fillId="0" borderId="37" xfId="1" applyNumberFormat="1" applyFont="1" applyBorder="1"/>
    <xf numFmtId="175" fontId="40" fillId="0" borderId="38" xfId="1" applyNumberFormat="1" applyFont="1" applyBorder="1"/>
    <xf numFmtId="0" fontId="40" fillId="0" borderId="35" xfId="0" applyFont="1" applyBorder="1"/>
    <xf numFmtId="0" fontId="40" fillId="0" borderId="36" xfId="0" applyFont="1" applyBorder="1"/>
    <xf numFmtId="175" fontId="40" fillId="0" borderId="39" xfId="1" applyNumberFormat="1" applyFont="1" applyBorder="1"/>
    <xf numFmtId="175" fontId="40" fillId="0" borderId="40" xfId="1" applyNumberFormat="1" applyFont="1" applyBorder="1"/>
    <xf numFmtId="175" fontId="40" fillId="0" borderId="0" xfId="1" applyNumberFormat="1" applyFont="1" applyAlignment="1">
      <alignment horizontal="right"/>
    </xf>
    <xf numFmtId="44" fontId="40" fillId="0" borderId="0" xfId="1" applyFont="1"/>
    <xf numFmtId="9" fontId="42" fillId="0" borderId="0" xfId="0" applyNumberFormat="1" applyFont="1" applyAlignment="1">
      <alignment horizontal="center"/>
    </xf>
    <xf numFmtId="176" fontId="43" fillId="0" borderId="15" xfId="1" applyNumberFormat="1" applyFont="1" applyBorder="1"/>
    <xf numFmtId="176" fontId="43" fillId="0" borderId="15" xfId="0" applyNumberFormat="1" applyFont="1" applyBorder="1"/>
    <xf numFmtId="175" fontId="39" fillId="0" borderId="18" xfId="1" applyNumberFormat="1" applyFont="1" applyBorder="1"/>
    <xf numFmtId="9" fontId="39" fillId="0" borderId="17" xfId="0" applyNumberFormat="1" applyFont="1" applyBorder="1"/>
    <xf numFmtId="41" fontId="44" fillId="0" borderId="15" xfId="0" applyNumberFormat="1" applyFont="1" applyBorder="1"/>
    <xf numFmtId="175" fontId="39" fillId="0" borderId="15" xfId="1" applyNumberFormat="1" applyFont="1" applyBorder="1"/>
    <xf numFmtId="175" fontId="44" fillId="0" borderId="15" xfId="1" applyNumberFormat="1" applyFont="1" applyBorder="1"/>
    <xf numFmtId="0" fontId="15" fillId="7" borderId="0" xfId="0" applyFont="1" applyFill="1" applyAlignment="1">
      <alignment horizontal="center"/>
    </xf>
    <xf numFmtId="0" fontId="15" fillId="7" borderId="15" xfId="0" applyFont="1" applyFill="1" applyBorder="1" applyAlignment="1">
      <alignment horizontal="center"/>
    </xf>
    <xf numFmtId="0" fontId="9" fillId="8" borderId="0" xfId="0" applyFont="1" applyFill="1" applyAlignment="1">
      <alignment horizontal="center"/>
    </xf>
    <xf numFmtId="0" fontId="34" fillId="2" borderId="0" xfId="0" applyFont="1" applyFill="1" applyAlignment="1">
      <alignment horizontal="center"/>
    </xf>
    <xf numFmtId="0" fontId="33" fillId="2" borderId="0" xfId="0" applyFont="1" applyFill="1" applyAlignment="1">
      <alignment horizontal="center"/>
    </xf>
    <xf numFmtId="0" fontId="36" fillId="0" borderId="35" xfId="0" applyFont="1" applyBorder="1" applyAlignment="1">
      <alignment horizontal="center"/>
    </xf>
    <xf numFmtId="0" fontId="36" fillId="0" borderId="36" xfId="0" applyFont="1" applyBorder="1" applyAlignment="1">
      <alignment horizontal="center"/>
    </xf>
  </cellXfs>
  <cellStyles count="4">
    <cellStyle name="Currency" xfId="1" builtinId="4"/>
    <cellStyle name="Invisible" xfId="3" xr:uid="{9D71A7B8-3289-43CC-BF6C-9E97122D05DD}"/>
    <cellStyle name="Normal" xfId="0" builtinId="0"/>
    <cellStyle name="Percent" xfId="2" builtinId="5"/>
  </cellStyles>
  <dxfs count="0"/>
  <tableStyles count="0" defaultTableStyle="TableStyleMedium2" defaultPivotStyle="PivotStyleLight16"/>
  <colors>
    <mruColors>
      <color rgb="FF148229"/>
      <color rgb="FF6A1510"/>
      <color rgb="FF1111FF"/>
      <color rgb="FFEEECE1"/>
      <color rgb="FFCCD1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69850</xdr:colOff>
      <xdr:row>14</xdr:row>
      <xdr:rowOff>82550</xdr:rowOff>
    </xdr:from>
    <xdr:to>
      <xdr:col>12</xdr:col>
      <xdr:colOff>12700</xdr:colOff>
      <xdr:row>21</xdr:row>
      <xdr:rowOff>31750</xdr:rowOff>
    </xdr:to>
    <xdr:pic>
      <xdr:nvPicPr>
        <xdr:cNvPr id="2" name="Picture 1" descr="Indiana University Logo Png posted by Reginald Timothy">
          <a:extLst>
            <a:ext uri="{FF2B5EF4-FFF2-40B4-BE49-F238E27FC236}">
              <a16:creationId xmlns:a16="http://schemas.microsoft.com/office/drawing/2014/main" id="{D120AE4A-D2E9-4956-8647-CA6217443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3800" y="2759075"/>
          <a:ext cx="1162050" cy="128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50D4-162E-4722-8E02-B6B99CA3BB7F}">
  <dimension ref="B1:T29"/>
  <sheetViews>
    <sheetView showGridLines="0" zoomScale="115" zoomScaleNormal="115" workbookViewId="0">
      <selection activeCell="C1" sqref="C1"/>
    </sheetView>
  </sheetViews>
  <sheetFormatPr defaultRowHeight="14.5" x14ac:dyDescent="0.35"/>
  <cols>
    <col min="2" max="2" width="10.81640625" bestFit="1" customWidth="1"/>
  </cols>
  <sheetData>
    <row r="1" spans="2:20" s="1" customFormat="1" ht="15.5" x14ac:dyDescent="0.35">
      <c r="B1" s="2" t="s">
        <v>0</v>
      </c>
    </row>
    <row r="2" spans="2:20" s="1" customFormat="1" x14ac:dyDescent="0.35">
      <c r="B2" s="4" t="s">
        <v>1</v>
      </c>
    </row>
    <row r="3" spans="2:20" s="1" customFormat="1" x14ac:dyDescent="0.35">
      <c r="B3" s="3">
        <f ca="1">TODAY()</f>
        <v>45941</v>
      </c>
    </row>
    <row r="10" spans="2:20" x14ac:dyDescent="0.35">
      <c r="C10" s="5"/>
      <c r="D10" s="5"/>
      <c r="E10" s="5"/>
      <c r="F10" s="5"/>
      <c r="G10" s="5"/>
      <c r="H10" s="5"/>
      <c r="I10" s="5"/>
      <c r="J10" s="5"/>
      <c r="K10" s="5"/>
      <c r="L10" s="5"/>
      <c r="M10" s="5"/>
      <c r="N10" s="5"/>
      <c r="O10" s="5"/>
      <c r="P10" s="5"/>
      <c r="Q10" s="5"/>
      <c r="R10" s="5"/>
      <c r="S10" s="5"/>
      <c r="T10" s="5"/>
    </row>
    <row r="11" spans="2:20" x14ac:dyDescent="0.35">
      <c r="C11" s="5"/>
      <c r="D11" s="1"/>
      <c r="E11" s="1"/>
      <c r="F11" s="1"/>
      <c r="G11" s="6"/>
      <c r="H11" s="1"/>
      <c r="I11" s="1"/>
      <c r="J11" s="1"/>
      <c r="K11" s="1"/>
      <c r="L11" s="1"/>
      <c r="M11" s="1"/>
      <c r="N11" s="1"/>
      <c r="O11" s="1"/>
      <c r="P11" s="1"/>
      <c r="Q11" s="6"/>
      <c r="R11" s="1"/>
      <c r="S11" s="1"/>
      <c r="T11" s="5"/>
    </row>
    <row r="12" spans="2:20" x14ac:dyDescent="0.35">
      <c r="C12" s="5"/>
      <c r="D12" s="1"/>
      <c r="E12" s="1"/>
      <c r="F12" s="1"/>
      <c r="G12" s="6"/>
      <c r="H12" s="1"/>
      <c r="I12" s="1"/>
      <c r="J12" s="1"/>
      <c r="K12" s="1"/>
      <c r="L12" s="1"/>
      <c r="M12" s="1"/>
      <c r="N12" s="1"/>
      <c r="O12" s="1"/>
      <c r="P12" s="1"/>
      <c r="Q12" s="1"/>
      <c r="R12" s="1"/>
      <c r="S12" s="1"/>
      <c r="T12" s="5"/>
    </row>
    <row r="13" spans="2:20" x14ac:dyDescent="0.35">
      <c r="C13" s="5"/>
      <c r="D13" s="1"/>
      <c r="E13" s="1"/>
      <c r="F13" s="1"/>
      <c r="G13" s="6"/>
      <c r="H13" s="1"/>
      <c r="I13" s="1"/>
      <c r="J13" s="1"/>
      <c r="K13" s="1"/>
      <c r="L13" s="1"/>
      <c r="M13" s="1"/>
      <c r="N13" s="1"/>
      <c r="O13" s="1"/>
      <c r="P13" s="1"/>
      <c r="Q13" s="1"/>
      <c r="R13" s="1"/>
      <c r="S13" s="1"/>
      <c r="T13" s="5"/>
    </row>
    <row r="14" spans="2:20" x14ac:dyDescent="0.35">
      <c r="C14" s="5"/>
      <c r="D14" s="1"/>
      <c r="E14" s="1"/>
      <c r="F14" s="1"/>
      <c r="G14" s="1"/>
      <c r="H14" s="1"/>
      <c r="I14" s="1"/>
      <c r="J14" s="1"/>
      <c r="K14" s="1"/>
      <c r="L14" s="1"/>
      <c r="M14" s="1"/>
      <c r="N14" s="1"/>
      <c r="O14" s="1"/>
      <c r="P14" s="1"/>
      <c r="Q14" s="1"/>
      <c r="R14" s="1"/>
      <c r="S14" s="1"/>
      <c r="T14" s="5"/>
    </row>
    <row r="15" spans="2:20" x14ac:dyDescent="0.35">
      <c r="C15" s="5"/>
      <c r="D15" s="1"/>
      <c r="E15" s="1"/>
      <c r="F15" s="1"/>
      <c r="G15" s="1"/>
      <c r="H15" s="1"/>
      <c r="I15" s="1"/>
      <c r="J15" s="1"/>
      <c r="K15" s="1"/>
      <c r="L15" s="1"/>
      <c r="M15" s="1"/>
      <c r="N15" s="1"/>
      <c r="O15" s="1"/>
      <c r="P15" s="1"/>
      <c r="Q15" s="1"/>
      <c r="R15" s="1"/>
      <c r="S15" s="1"/>
      <c r="T15" s="5"/>
    </row>
    <row r="16" spans="2:20" x14ac:dyDescent="0.35">
      <c r="C16" s="5"/>
      <c r="D16" s="1"/>
      <c r="E16" s="1"/>
      <c r="F16" s="1"/>
      <c r="G16" s="1"/>
      <c r="H16" s="1"/>
      <c r="I16" s="1"/>
      <c r="J16" s="1"/>
      <c r="K16" s="1"/>
      <c r="L16" s="1"/>
      <c r="M16" s="1"/>
      <c r="N16" s="1"/>
      <c r="O16" s="1"/>
      <c r="P16" s="1"/>
      <c r="Q16" s="1"/>
      <c r="R16" s="1"/>
      <c r="S16" s="1"/>
      <c r="T16" s="5"/>
    </row>
    <row r="17" spans="3:20" x14ac:dyDescent="0.35">
      <c r="C17" s="5"/>
      <c r="D17" s="1"/>
      <c r="E17" s="1"/>
      <c r="F17" s="1"/>
      <c r="G17" s="1"/>
      <c r="H17" s="1"/>
      <c r="I17" s="1"/>
      <c r="J17" s="1"/>
      <c r="K17" s="1"/>
      <c r="L17" s="1"/>
      <c r="M17" s="1"/>
      <c r="N17" s="1"/>
      <c r="O17" s="1"/>
      <c r="P17" s="1"/>
      <c r="Q17" s="1"/>
      <c r="R17" s="1"/>
      <c r="S17" s="1"/>
      <c r="T17" s="5"/>
    </row>
    <row r="18" spans="3:20" x14ac:dyDescent="0.35">
      <c r="C18" s="5"/>
      <c r="D18" s="1"/>
      <c r="E18" s="1"/>
      <c r="F18" s="1"/>
      <c r="G18" s="1"/>
      <c r="H18" s="1"/>
      <c r="I18" s="1"/>
      <c r="J18" s="1"/>
      <c r="K18" s="1"/>
      <c r="L18" s="1"/>
      <c r="M18" s="1"/>
      <c r="N18" s="1"/>
      <c r="O18" s="1"/>
      <c r="P18" s="1"/>
      <c r="Q18" s="1"/>
      <c r="R18" s="1"/>
      <c r="S18" s="1"/>
      <c r="T18" s="5"/>
    </row>
    <row r="19" spans="3:20" x14ac:dyDescent="0.35">
      <c r="C19" s="5"/>
      <c r="D19" s="1"/>
      <c r="E19" s="1"/>
      <c r="F19" s="1"/>
      <c r="G19" s="1"/>
      <c r="H19" s="1"/>
      <c r="I19" s="1"/>
      <c r="J19" s="1"/>
      <c r="K19" s="1"/>
      <c r="L19" s="1"/>
      <c r="M19" s="1"/>
      <c r="N19" s="1"/>
      <c r="O19" s="1"/>
      <c r="P19" s="1"/>
      <c r="Q19" s="1"/>
      <c r="R19" s="1"/>
      <c r="S19" s="1"/>
      <c r="T19" s="5"/>
    </row>
    <row r="20" spans="3:20" x14ac:dyDescent="0.35">
      <c r="C20" s="5"/>
      <c r="D20" s="1"/>
      <c r="E20" s="1"/>
      <c r="F20" s="1"/>
      <c r="G20" s="1"/>
      <c r="H20" s="1"/>
      <c r="I20" s="1"/>
      <c r="J20" s="1"/>
      <c r="K20" s="1"/>
      <c r="L20" s="1"/>
      <c r="M20" s="1"/>
      <c r="N20" s="1"/>
      <c r="O20" s="1"/>
      <c r="P20" s="1"/>
      <c r="Q20" s="1"/>
      <c r="R20" s="1"/>
      <c r="S20" s="1"/>
      <c r="T20" s="5"/>
    </row>
    <row r="21" spans="3:20" x14ac:dyDescent="0.35">
      <c r="C21" s="5"/>
      <c r="D21" s="1"/>
      <c r="E21" s="1"/>
      <c r="F21" s="1"/>
      <c r="G21" s="1"/>
      <c r="H21" s="1"/>
      <c r="I21" s="1"/>
      <c r="J21" s="1"/>
      <c r="K21" s="1"/>
      <c r="L21" s="1"/>
      <c r="M21" s="1"/>
      <c r="N21" s="1"/>
      <c r="O21" s="1"/>
      <c r="P21" s="1"/>
      <c r="Q21" s="1"/>
      <c r="R21" s="1"/>
      <c r="S21" s="1"/>
      <c r="T21" s="5"/>
    </row>
    <row r="22" spans="3:20" ht="31" x14ac:dyDescent="0.7">
      <c r="C22" s="7"/>
      <c r="D22" s="8" t="s">
        <v>0</v>
      </c>
      <c r="E22" s="9"/>
      <c r="F22" s="9"/>
      <c r="G22" s="9"/>
      <c r="H22" s="9"/>
      <c r="I22" s="9"/>
      <c r="J22" s="9"/>
      <c r="K22" s="9"/>
      <c r="L22" s="9"/>
      <c r="M22" s="9"/>
      <c r="N22" s="9"/>
      <c r="O22" s="9"/>
      <c r="P22" s="9"/>
      <c r="Q22" s="9"/>
      <c r="R22" s="9"/>
      <c r="S22" s="9"/>
      <c r="T22" s="7"/>
    </row>
    <row r="23" spans="3:20" x14ac:dyDescent="0.35">
      <c r="C23" s="5"/>
      <c r="D23" s="5"/>
      <c r="E23" s="5"/>
      <c r="F23" s="5"/>
      <c r="G23" s="5"/>
      <c r="H23" s="5"/>
      <c r="I23" s="5"/>
      <c r="J23" s="5"/>
      <c r="K23" s="5"/>
      <c r="L23" s="5"/>
      <c r="M23" s="5"/>
      <c r="N23" s="5"/>
      <c r="O23" s="5"/>
      <c r="P23" s="5"/>
      <c r="Q23" s="5"/>
      <c r="R23" s="5"/>
      <c r="S23" s="5"/>
      <c r="T23" s="5"/>
    </row>
    <row r="27" spans="3:20" x14ac:dyDescent="0.35">
      <c r="C27" s="5"/>
      <c r="D27" s="5"/>
      <c r="E27" s="5"/>
      <c r="F27" s="5"/>
      <c r="G27" s="5"/>
      <c r="H27" s="5"/>
      <c r="I27" s="5"/>
      <c r="J27" s="5"/>
      <c r="K27" s="5"/>
      <c r="L27" s="5"/>
      <c r="M27" s="5"/>
      <c r="N27" s="5"/>
      <c r="O27" s="5"/>
      <c r="P27" s="5"/>
      <c r="Q27" s="5"/>
      <c r="R27" s="5"/>
      <c r="S27" s="5"/>
      <c r="T27" s="5"/>
    </row>
    <row r="28" spans="3:20" ht="31" x14ac:dyDescent="0.7">
      <c r="C28" s="5"/>
      <c r="D28" s="10" t="s">
        <v>2</v>
      </c>
      <c r="E28" s="9"/>
      <c r="F28" s="9"/>
      <c r="G28" s="9"/>
      <c r="H28" s="9"/>
      <c r="I28" s="9"/>
      <c r="J28" s="9"/>
      <c r="K28" s="9"/>
      <c r="L28" s="9"/>
      <c r="M28" s="9"/>
      <c r="N28" s="9"/>
      <c r="O28" s="9"/>
      <c r="P28" s="9"/>
      <c r="Q28" s="9"/>
      <c r="R28" s="9"/>
      <c r="S28" s="9"/>
      <c r="T28" s="5"/>
    </row>
    <row r="29" spans="3:20" x14ac:dyDescent="0.35">
      <c r="C29" s="5"/>
      <c r="D29" s="5"/>
      <c r="E29" s="5"/>
      <c r="F29" s="5"/>
      <c r="G29" s="5"/>
      <c r="H29" s="5"/>
      <c r="I29" s="5"/>
      <c r="J29" s="5"/>
      <c r="K29" s="5"/>
      <c r="L29" s="5"/>
      <c r="M29" s="5"/>
      <c r="N29" s="5"/>
      <c r="O29" s="5"/>
      <c r="P29" s="5"/>
      <c r="Q29" s="5"/>
      <c r="R29" s="5"/>
      <c r="S29" s="5"/>
      <c r="T29" s="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94E88-00F6-4B9E-99D5-9DC230EACC30}">
  <dimension ref="B1:J27"/>
  <sheetViews>
    <sheetView showGridLines="0" zoomScale="78" workbookViewId="0">
      <selection activeCell="F26" sqref="F26"/>
    </sheetView>
  </sheetViews>
  <sheetFormatPr defaultColWidth="8.7265625" defaultRowHeight="14.5" x14ac:dyDescent="0.35"/>
  <cols>
    <col min="1" max="2" width="8.7265625" style="230"/>
    <col min="3" max="3" width="9.90625" style="230" bestFit="1" customWidth="1"/>
    <col min="4" max="5" width="18.54296875" style="230" customWidth="1"/>
    <col min="6" max="10" width="14.453125" style="230" bestFit="1" customWidth="1"/>
    <col min="11" max="16384" width="8.7265625" style="230"/>
  </cols>
  <sheetData>
    <row r="1" spans="2:10" s="109" customFormat="1" ht="15.5" x14ac:dyDescent="0.35">
      <c r="B1" s="108" t="str">
        <f>Intro!B1</f>
        <v>Crocs Inc (CROX)</v>
      </c>
    </row>
    <row r="2" spans="2:10" s="109" customFormat="1" x14ac:dyDescent="0.35">
      <c r="B2" s="110" t="s">
        <v>178</v>
      </c>
    </row>
    <row r="3" spans="2:10" s="109" customFormat="1" x14ac:dyDescent="0.35">
      <c r="B3" s="111" t="s">
        <v>4</v>
      </c>
    </row>
    <row r="6" spans="2:10" x14ac:dyDescent="0.35">
      <c r="F6" s="270">
        <v>2025</v>
      </c>
      <c r="G6" s="270">
        <v>2026</v>
      </c>
      <c r="H6" s="270">
        <v>2027</v>
      </c>
      <c r="I6" s="270">
        <v>2028</v>
      </c>
      <c r="J6" s="270">
        <v>2029</v>
      </c>
    </row>
    <row r="7" spans="2:10" x14ac:dyDescent="0.35">
      <c r="C7" s="253" t="s">
        <v>250</v>
      </c>
      <c r="D7" s="253"/>
      <c r="E7" s="253"/>
      <c r="F7" s="352">
        <f>'Income Statement'!F7</f>
        <v>4225171.24</v>
      </c>
      <c r="G7" s="352">
        <f>'Income Statement'!G7</f>
        <v>4341363.4491000008</v>
      </c>
      <c r="H7" s="352">
        <f>'Income Statement'!H7</f>
        <v>4449897.5353275007</v>
      </c>
      <c r="I7" s="352">
        <f>'Income Statement'!I7</f>
        <v>4550020.2298723692</v>
      </c>
      <c r="J7" s="352">
        <f>'Income Statement'!J7</f>
        <v>4641020.6344698165</v>
      </c>
    </row>
    <row r="8" spans="2:10" x14ac:dyDescent="0.35">
      <c r="C8" s="238" t="s">
        <v>251</v>
      </c>
      <c r="F8" s="307">
        <f>F7</f>
        <v>4225171.24</v>
      </c>
      <c r="G8" s="307">
        <f t="shared" ref="G8:J8" si="0">G7</f>
        <v>4341363.4491000008</v>
      </c>
      <c r="H8" s="307">
        <f t="shared" si="0"/>
        <v>4449897.5353275007</v>
      </c>
      <c r="I8" s="307">
        <f t="shared" si="0"/>
        <v>4550020.2298723692</v>
      </c>
      <c r="J8" s="307">
        <f t="shared" si="0"/>
        <v>4641020.6344698165</v>
      </c>
    </row>
    <row r="10" spans="2:10" x14ac:dyDescent="0.35">
      <c r="C10" s="253" t="s">
        <v>8</v>
      </c>
      <c r="D10" s="253"/>
      <c r="E10" s="253"/>
      <c r="F10" s="352">
        <f>'Income Statement'!F8</f>
        <v>1875121.4752247711</v>
      </c>
      <c r="G10" s="352">
        <f>'Income Statement'!G8</f>
        <v>1926687.3157934528</v>
      </c>
      <c r="H10" s="352">
        <f>'Income Statement'!H8</f>
        <v>1974854.498688289</v>
      </c>
      <c r="I10" s="352">
        <f>'Income Statement'!I8</f>
        <v>2019288.7249087752</v>
      </c>
      <c r="J10" s="352">
        <f>'Income Statement'!J8</f>
        <v>2059674.499406951</v>
      </c>
    </row>
    <row r="11" spans="2:10" x14ac:dyDescent="0.35">
      <c r="C11" s="238" t="s">
        <v>9</v>
      </c>
      <c r="F11" s="300">
        <f>F8-F10</f>
        <v>2350049.7647752292</v>
      </c>
      <c r="G11" s="300">
        <f t="shared" ref="G11:J11" si="1">G8-G10</f>
        <v>2414676.133306548</v>
      </c>
      <c r="H11" s="300">
        <f t="shared" si="1"/>
        <v>2475043.0366392117</v>
      </c>
      <c r="I11" s="300">
        <f t="shared" si="1"/>
        <v>2530731.504963594</v>
      </c>
      <c r="J11" s="300">
        <f t="shared" si="1"/>
        <v>2581346.1350628654</v>
      </c>
    </row>
    <row r="13" spans="2:10" x14ac:dyDescent="0.35">
      <c r="C13" s="253" t="s">
        <v>252</v>
      </c>
      <c r="D13" s="253"/>
      <c r="E13" s="253"/>
      <c r="F13" s="352">
        <f>'Income Statement'!C11</f>
        <v>1009526</v>
      </c>
      <c r="G13" s="352">
        <f>'Income Statement'!D11</f>
        <v>1173227</v>
      </c>
      <c r="H13" s="352">
        <f>'Income Statement'!E11</f>
        <v>1388347</v>
      </c>
      <c r="I13" s="352">
        <f>'Income Statement'!F11</f>
        <v>1293629.0178107074</v>
      </c>
      <c r="J13" s="352">
        <f>'Income Statement'!G11</f>
        <v>1329203.8158005022</v>
      </c>
    </row>
    <row r="14" spans="2:10" x14ac:dyDescent="0.35">
      <c r="C14" s="238" t="s">
        <v>253</v>
      </c>
      <c r="F14" s="307">
        <f>F11-F13</f>
        <v>1340523.7647752292</v>
      </c>
      <c r="G14" s="307">
        <f t="shared" ref="G14:J14" si="2">G11-G13</f>
        <v>1241449.133306548</v>
      </c>
      <c r="H14" s="307">
        <f t="shared" si="2"/>
        <v>1086696.0366392117</v>
      </c>
      <c r="I14" s="307">
        <f t="shared" si="2"/>
        <v>1237102.4871528866</v>
      </c>
      <c r="J14" s="307">
        <f t="shared" si="2"/>
        <v>1252142.3192623632</v>
      </c>
    </row>
    <row r="17" spans="3:10" x14ac:dyDescent="0.35">
      <c r="C17" s="230" t="s">
        <v>185</v>
      </c>
      <c r="F17" s="351">
        <f ca="1">'Pro Forma Debt Schedule'!E29</f>
        <v>0</v>
      </c>
      <c r="G17" s="351">
        <f ca="1">'Pro Forma Debt Schedule'!F29</f>
        <v>0</v>
      </c>
      <c r="H17" s="351">
        <f ca="1">'Pro Forma Debt Schedule'!G29</f>
        <v>0</v>
      </c>
      <c r="I17" s="351">
        <f ca="1">'Pro Forma Debt Schedule'!H29</f>
        <v>0</v>
      </c>
      <c r="J17" s="351">
        <f ca="1">'Pro Forma Debt Schedule'!I29</f>
        <v>0</v>
      </c>
    </row>
    <row r="18" spans="3:10" x14ac:dyDescent="0.35">
      <c r="C18" s="230" t="s">
        <v>186</v>
      </c>
      <c r="F18" s="351">
        <f ca="1">-'Pro Forma Debt Schedule'!E42</f>
        <v>-107594.89144482624</v>
      </c>
      <c r="G18" s="351">
        <f ca="1">-'Pro Forma Debt Schedule'!F42</f>
        <v>-60572.335264963564</v>
      </c>
      <c r="H18" s="351">
        <f ca="1">-'Pro Forma Debt Schedule'!G42</f>
        <v>-20984.632771278619</v>
      </c>
      <c r="I18" s="351">
        <f ca="1">-'Pro Forma Debt Schedule'!H42</f>
        <v>-2897.5251132075678</v>
      </c>
      <c r="J18" s="351">
        <f ca="1">-'Pro Forma Debt Schedule'!I42</f>
        <v>0</v>
      </c>
    </row>
    <row r="19" spans="3:10" x14ac:dyDescent="0.35">
      <c r="C19" s="230" t="s">
        <v>142</v>
      </c>
      <c r="F19" s="319">
        <f>-'Pro Forma Debt Schedule'!E55</f>
        <v>-96483.494624999992</v>
      </c>
      <c r="G19" s="319">
        <f>-'Pro Forma Debt Schedule'!F55</f>
        <v>-87203.611124999996</v>
      </c>
      <c r="H19" s="319">
        <f>-'Pro Forma Debt Schedule'!G55</f>
        <v>-78333.134250000003</v>
      </c>
      <c r="I19" s="319">
        <f>-'Pro Forma Debt Schedule'!H55</f>
        <v>-79424.885250000007</v>
      </c>
      <c r="J19" s="319">
        <f>-'Pro Forma Debt Schedule'!I55</f>
        <v>-82017.793875000003</v>
      </c>
    </row>
    <row r="20" spans="3:10" x14ac:dyDescent="0.35">
      <c r="C20" s="230" t="s">
        <v>187</v>
      </c>
      <c r="F20" s="319">
        <f>-'Pro Forma Debt Schedule'!E67</f>
        <v>-78879.009749999997</v>
      </c>
      <c r="G20" s="319">
        <f>-'Pro Forma Debt Schedule'!F67</f>
        <v>-78879.009749999997</v>
      </c>
      <c r="H20" s="319">
        <f>-'Pro Forma Debt Schedule'!G67</f>
        <v>-78879.009749999997</v>
      </c>
      <c r="I20" s="319">
        <f>-'Pro Forma Debt Schedule'!H67</f>
        <v>-78879.009749999997</v>
      </c>
      <c r="J20" s="319">
        <f>-'Pro Forma Debt Schedule'!I67</f>
        <v>-78879.009749999997</v>
      </c>
    </row>
    <row r="21" spans="3:10" x14ac:dyDescent="0.35">
      <c r="C21" s="230" t="s">
        <v>188</v>
      </c>
      <c r="F21" s="319">
        <f>-'Pro Forma Debt Schedule'!E79</f>
        <v>-51858.172500000001</v>
      </c>
      <c r="G21" s="319">
        <f>-'Pro Forma Debt Schedule'!F79</f>
        <v>-51858.172500000001</v>
      </c>
      <c r="H21" s="319">
        <f>-'Pro Forma Debt Schedule'!G79</f>
        <v>-51858.172500000001</v>
      </c>
      <c r="I21" s="319">
        <f>-'Pro Forma Debt Schedule'!H79</f>
        <v>-51858.172500000001</v>
      </c>
      <c r="J21" s="319">
        <f>-'Pro Forma Debt Schedule'!I79</f>
        <v>-51858.172500000001</v>
      </c>
    </row>
    <row r="22" spans="3:10" x14ac:dyDescent="0.35">
      <c r="C22" s="230" t="s">
        <v>13</v>
      </c>
      <c r="F22" s="362">
        <v>0</v>
      </c>
      <c r="G22" s="362">
        <v>0</v>
      </c>
      <c r="H22" s="362">
        <v>0</v>
      </c>
      <c r="I22" s="362">
        <v>0</v>
      </c>
      <c r="J22" s="362">
        <v>0</v>
      </c>
    </row>
    <row r="23" spans="3:10" x14ac:dyDescent="0.35">
      <c r="C23" s="230" t="s">
        <v>254</v>
      </c>
      <c r="F23" s="362">
        <v>0</v>
      </c>
      <c r="G23" s="362">
        <v>0</v>
      </c>
      <c r="H23" s="362">
        <v>0</v>
      </c>
      <c r="I23" s="362">
        <v>0</v>
      </c>
      <c r="J23" s="362">
        <v>0</v>
      </c>
    </row>
    <row r="24" spans="3:10" x14ac:dyDescent="0.35">
      <c r="C24" s="271" t="s">
        <v>255</v>
      </c>
      <c r="D24" s="251"/>
      <c r="E24" s="251"/>
      <c r="F24" s="309">
        <f ca="1">F14+SUM(F17:F23)</f>
        <v>1005708.196455403</v>
      </c>
      <c r="G24" s="309">
        <f t="shared" ref="G24:J24" ca="1" si="3">G14+SUM(G17:G23)</f>
        <v>962936.00466658443</v>
      </c>
      <c r="H24" s="309">
        <f t="shared" ca="1" si="3"/>
        <v>856641.08736793301</v>
      </c>
      <c r="I24" s="309">
        <f t="shared" ca="1" si="3"/>
        <v>1024042.8945396789</v>
      </c>
      <c r="J24" s="309">
        <f t="shared" ca="1" si="3"/>
        <v>1039387.3431373632</v>
      </c>
    </row>
    <row r="25" spans="3:10" x14ac:dyDescent="0.35">
      <c r="E25" s="267" t="s">
        <v>31</v>
      </c>
    </row>
    <row r="26" spans="3:10" x14ac:dyDescent="0.35">
      <c r="C26" s="230" t="s">
        <v>256</v>
      </c>
      <c r="E26" s="363">
        <v>0.21</v>
      </c>
      <c r="F26" s="300">
        <f ca="1">F24*$E$26</f>
        <v>211198.72125563462</v>
      </c>
      <c r="G26" s="300">
        <f t="shared" ref="G26:J26" ca="1" si="4">G24*$E$26</f>
        <v>202216.56097998272</v>
      </c>
      <c r="H26" s="300">
        <f t="shared" ca="1" si="4"/>
        <v>179894.62834726591</v>
      </c>
      <c r="I26" s="300">
        <f t="shared" ca="1" si="4"/>
        <v>215049.00785333256</v>
      </c>
      <c r="J26" s="300">
        <f t="shared" ca="1" si="4"/>
        <v>218271.34205884626</v>
      </c>
    </row>
    <row r="27" spans="3:10" x14ac:dyDescent="0.35">
      <c r="C27" s="271" t="s">
        <v>18</v>
      </c>
      <c r="D27" s="251"/>
      <c r="E27" s="251"/>
      <c r="F27" s="309">
        <f ca="1">F24-F26</f>
        <v>794509.47519976832</v>
      </c>
      <c r="G27" s="309">
        <f t="shared" ref="G27:J27" ca="1" si="5">G24-G26</f>
        <v>760719.44368660171</v>
      </c>
      <c r="H27" s="309">
        <f t="shared" ca="1" si="5"/>
        <v>676746.45902066713</v>
      </c>
      <c r="I27" s="309">
        <f t="shared" ca="1" si="5"/>
        <v>808993.88668634638</v>
      </c>
      <c r="J27" s="309">
        <f t="shared" ca="1" si="5"/>
        <v>821116.00107851694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88C77-5538-4D45-844C-07B2E3E5BB7E}">
  <dimension ref="B1:O51"/>
  <sheetViews>
    <sheetView showGridLines="0" topLeftCell="A22" zoomScale="89" workbookViewId="0">
      <selection activeCell="H51" sqref="H51"/>
    </sheetView>
  </sheetViews>
  <sheetFormatPr defaultColWidth="8.7265625" defaultRowHeight="14.5" x14ac:dyDescent="0.35"/>
  <cols>
    <col min="1" max="2" width="8.7265625" style="230"/>
    <col min="3" max="3" width="38.453125" style="230" bestFit="1" customWidth="1"/>
    <col min="4" max="4" width="14.1796875" style="230" bestFit="1" customWidth="1"/>
    <col min="5" max="5" width="14.26953125" style="230" bestFit="1" customWidth="1"/>
    <col min="6" max="6" width="14.90625" style="230" bestFit="1" customWidth="1"/>
    <col min="7" max="7" width="15.90625" style="230" bestFit="1" customWidth="1"/>
    <col min="8" max="12" width="15.1796875" style="230" bestFit="1" customWidth="1"/>
    <col min="13" max="16384" width="8.7265625" style="230"/>
  </cols>
  <sheetData>
    <row r="1" spans="2:15" s="109" customFormat="1" ht="15.5" x14ac:dyDescent="0.35">
      <c r="B1" s="108" t="str">
        <f>Intro!B1</f>
        <v>Crocs Inc (CROX)</v>
      </c>
    </row>
    <row r="2" spans="2:15" s="109" customFormat="1" x14ac:dyDescent="0.35">
      <c r="B2" s="110" t="s">
        <v>179</v>
      </c>
    </row>
    <row r="3" spans="2:15" s="109" customFormat="1" x14ac:dyDescent="0.35">
      <c r="B3" s="111" t="s">
        <v>4</v>
      </c>
    </row>
    <row r="5" spans="2:15" x14ac:dyDescent="0.35">
      <c r="D5" s="267" t="s">
        <v>247</v>
      </c>
      <c r="E5" s="376" t="s">
        <v>248</v>
      </c>
      <c r="F5" s="377"/>
      <c r="G5" s="238" t="s">
        <v>249</v>
      </c>
      <c r="O5" s="37"/>
    </row>
    <row r="6" spans="2:15" x14ac:dyDescent="0.35">
      <c r="D6" s="236">
        <v>2024</v>
      </c>
      <c r="E6" s="268" t="s">
        <v>245</v>
      </c>
      <c r="F6" s="269" t="s">
        <v>246</v>
      </c>
      <c r="G6" s="236">
        <v>2024</v>
      </c>
      <c r="H6" s="236">
        <v>2025</v>
      </c>
      <c r="I6" s="236">
        <v>2026</v>
      </c>
      <c r="J6" s="236">
        <v>2027</v>
      </c>
      <c r="K6" s="236">
        <v>2028</v>
      </c>
      <c r="L6" s="236">
        <v>2029</v>
      </c>
      <c r="O6" s="37"/>
    </row>
    <row r="7" spans="2:15" x14ac:dyDescent="0.35">
      <c r="C7" s="266" t="s">
        <v>231</v>
      </c>
      <c r="D7" s="319">
        <f>'Balance Sheet'!E8</f>
        <v>180485</v>
      </c>
      <c r="E7" s="353"/>
      <c r="F7" s="354">
        <f>-'Transaction Structure'!F15</f>
        <v>-178680.15</v>
      </c>
      <c r="G7" s="307">
        <f>SUM(D7:F7)</f>
        <v>1804.8500000000058</v>
      </c>
      <c r="H7" s="361">
        <f ca="1">'Pro Forma Cash Flow Statement'!E40</f>
        <v>42251.712399999989</v>
      </c>
      <c r="I7" s="319">
        <f ca="1">'Pro Forma Cash Flow Statement'!F40</f>
        <v>43413.634491000004</v>
      </c>
      <c r="J7" s="319">
        <f ca="1">'Pro Forma Cash Flow Statement'!G40</f>
        <v>44498.975353274989</v>
      </c>
      <c r="K7" s="319">
        <f ca="1">'Pro Forma Cash Flow Statement'!H40</f>
        <v>654499.46488393133</v>
      </c>
      <c r="L7" s="319">
        <f ca="1">'Pro Forma Cash Flow Statement'!I40</f>
        <v>1398405.6272977819</v>
      </c>
      <c r="O7" s="37"/>
    </row>
    <row r="8" spans="2:15" x14ac:dyDescent="0.35">
      <c r="C8" s="266" t="s">
        <v>232</v>
      </c>
      <c r="D8" s="319">
        <f>'Balance Sheet'!E9</f>
        <v>257657</v>
      </c>
      <c r="E8" s="353"/>
      <c r="F8" s="354"/>
      <c r="G8" s="307">
        <f t="shared" ref="G8:G50" si="0">SUM(D8:F8)</f>
        <v>257657</v>
      </c>
      <c r="H8" s="319">
        <f>'Balance Sheet'!F9</f>
        <v>314244.48812118004</v>
      </c>
      <c r="I8" s="319">
        <f>'Balance Sheet'!G9</f>
        <v>322886.21154451254</v>
      </c>
      <c r="J8" s="319">
        <f>'Balance Sheet'!H9</f>
        <v>330958.3668331253</v>
      </c>
      <c r="K8" s="319">
        <f>'Balance Sheet'!I9</f>
        <v>338404.93008687062</v>
      </c>
      <c r="L8" s="319">
        <f>'Balance Sheet'!J9</f>
        <v>345173.02868860803</v>
      </c>
      <c r="O8" s="37"/>
    </row>
    <row r="9" spans="2:15" x14ac:dyDescent="0.35">
      <c r="C9" s="266" t="s">
        <v>36</v>
      </c>
      <c r="D9" s="319">
        <f>'Balance Sheet'!E10</f>
        <v>356254</v>
      </c>
      <c r="E9" s="353"/>
      <c r="F9" s="354"/>
      <c r="G9" s="307">
        <f t="shared" si="0"/>
        <v>356254</v>
      </c>
      <c r="H9" s="319">
        <f>'Balance Sheet'!F10</f>
        <v>442877.45689316961</v>
      </c>
      <c r="I9" s="319">
        <f>'Balance Sheet'!G10</f>
        <v>455056.58695773187</v>
      </c>
      <c r="J9" s="319">
        <f>'Balance Sheet'!H10</f>
        <v>466433.00163167517</v>
      </c>
      <c r="K9" s="319">
        <f>'Balance Sheet'!I10</f>
        <v>476927.74416838778</v>
      </c>
      <c r="L9" s="319">
        <f>'Balance Sheet'!J10</f>
        <v>486466.29905175563</v>
      </c>
      <c r="O9" s="42"/>
    </row>
    <row r="10" spans="2:15" x14ac:dyDescent="0.35">
      <c r="C10" s="266" t="s">
        <v>233</v>
      </c>
      <c r="D10" s="319">
        <f>'Balance Sheet'!E11</f>
        <v>4046</v>
      </c>
      <c r="E10" s="353"/>
      <c r="F10" s="354"/>
      <c r="G10" s="307">
        <f t="shared" si="0"/>
        <v>4046</v>
      </c>
      <c r="H10" s="319">
        <f>'Balance Sheet'!F11</f>
        <v>4046</v>
      </c>
      <c r="I10" s="319">
        <f>'Balance Sheet'!G11</f>
        <v>4046</v>
      </c>
      <c r="J10" s="319">
        <f>'Balance Sheet'!H11</f>
        <v>4046</v>
      </c>
      <c r="K10" s="319">
        <f>'Balance Sheet'!I11</f>
        <v>4046</v>
      </c>
      <c r="L10" s="319">
        <f>'Balance Sheet'!J11</f>
        <v>4046</v>
      </c>
      <c r="O10" s="15"/>
    </row>
    <row r="11" spans="2:15" x14ac:dyDescent="0.35">
      <c r="C11" s="266" t="s">
        <v>38</v>
      </c>
      <c r="D11" s="319">
        <f>'Balance Sheet'!E12</f>
        <v>22204</v>
      </c>
      <c r="E11" s="353"/>
      <c r="F11" s="354"/>
      <c r="G11" s="307">
        <f t="shared" si="0"/>
        <v>22204</v>
      </c>
      <c r="H11" s="319">
        <f>'Balance Sheet'!F12</f>
        <v>22204</v>
      </c>
      <c r="I11" s="319">
        <f>'Balance Sheet'!G12</f>
        <v>22204</v>
      </c>
      <c r="J11" s="319">
        <f>'Balance Sheet'!H12</f>
        <v>22204</v>
      </c>
      <c r="K11" s="319">
        <f>'Balance Sheet'!I12</f>
        <v>22204</v>
      </c>
      <c r="L11" s="319">
        <f>'Balance Sheet'!J12</f>
        <v>22204</v>
      </c>
      <c r="O11" s="42"/>
    </row>
    <row r="12" spans="2:15" x14ac:dyDescent="0.35">
      <c r="C12" s="266" t="s">
        <v>234</v>
      </c>
      <c r="D12" s="319">
        <f>'Balance Sheet'!E13</f>
        <v>51623</v>
      </c>
      <c r="E12" s="355"/>
      <c r="F12" s="356"/>
      <c r="G12" s="314">
        <f t="shared" si="0"/>
        <v>51623</v>
      </c>
      <c r="H12" s="352">
        <f>'Balance Sheet'!F13</f>
        <v>47562.952156629406</v>
      </c>
      <c r="I12" s="352">
        <f>'Balance Sheet'!G13</f>
        <v>48870.933340936732</v>
      </c>
      <c r="J12" s="352">
        <f>'Balance Sheet'!H13</f>
        <v>50092.706674460147</v>
      </c>
      <c r="K12" s="352">
        <f>'Balance Sheet'!I13</f>
        <v>51219.792574635489</v>
      </c>
      <c r="L12" s="352">
        <f>'Balance Sheet'!J13</f>
        <v>52244.18842612821</v>
      </c>
      <c r="O12" s="15"/>
    </row>
    <row r="13" spans="2:15" x14ac:dyDescent="0.35">
      <c r="C13" s="238" t="s">
        <v>40</v>
      </c>
      <c r="D13" s="307">
        <f>SUM(D7:D12)</f>
        <v>872269</v>
      </c>
      <c r="E13" s="353"/>
      <c r="F13" s="354"/>
      <c r="G13" s="307">
        <f>SUM(G7:G12)</f>
        <v>693588.85</v>
      </c>
      <c r="H13" s="307">
        <f ca="1">SUM(H7:H12)</f>
        <v>873186.60957097914</v>
      </c>
      <c r="I13" s="307">
        <f t="shared" ref="I13:L13" ca="1" si="1">SUM(I7:I12)</f>
        <v>896477.36633418116</v>
      </c>
      <c r="J13" s="307">
        <f t="shared" ca="1" si="1"/>
        <v>918233.05049253558</v>
      </c>
      <c r="K13" s="307">
        <f t="shared" ca="1" si="1"/>
        <v>1547301.9317138251</v>
      </c>
      <c r="L13" s="307">
        <f t="shared" ca="1" si="1"/>
        <v>2308539.1434642738</v>
      </c>
      <c r="O13" s="149"/>
    </row>
    <row r="14" spans="2:15" x14ac:dyDescent="0.35">
      <c r="E14" s="357"/>
      <c r="F14" s="358"/>
      <c r="G14" s="306"/>
    </row>
    <row r="15" spans="2:15" x14ac:dyDescent="0.35">
      <c r="C15" s="265" t="s">
        <v>41</v>
      </c>
      <c r="D15" s="319">
        <f>'Balance Sheet'!E16</f>
        <v>244335</v>
      </c>
      <c r="E15" s="353"/>
      <c r="F15" s="354"/>
      <c r="G15" s="307">
        <f t="shared" si="0"/>
        <v>244335</v>
      </c>
      <c r="H15" s="319">
        <f>'Balance Sheet'!F16</f>
        <v>326817.11202348792</v>
      </c>
      <c r="I15" s="319">
        <f>'Balance Sheet'!G16</f>
        <v>420802.51195309754</v>
      </c>
      <c r="J15" s="319">
        <f>'Balance Sheet'!H16</f>
        <v>520775.91631544626</v>
      </c>
      <c r="K15" s="319">
        <f>'Balance Sheet'!I16</f>
        <v>618462.00280213461</v>
      </c>
      <c r="L15" s="319">
        <f>'Balance Sheet'!J16</f>
        <v>703548.74643879896</v>
      </c>
    </row>
    <row r="16" spans="2:15" x14ac:dyDescent="0.35">
      <c r="C16" s="265" t="s">
        <v>235</v>
      </c>
      <c r="D16" s="319">
        <f>'Balance Sheet'!E17</f>
        <v>1777080</v>
      </c>
      <c r="E16" s="353"/>
      <c r="F16" s="354"/>
      <c r="G16" s="307">
        <f t="shared" si="0"/>
        <v>1777080</v>
      </c>
      <c r="H16" s="319">
        <f>'Balance Sheet'!F17</f>
        <v>1765652.1242340668</v>
      </c>
      <c r="I16" s="319">
        <f>'Balance Sheet'!G17</f>
        <v>1754297.7377564725</v>
      </c>
      <c r="J16" s="319">
        <f>'Balance Sheet'!H17</f>
        <v>1743016.3679793444</v>
      </c>
      <c r="K16" s="319">
        <f>'Balance Sheet'!I17</f>
        <v>1731807.5453538822</v>
      </c>
      <c r="L16" s="319">
        <f>'Balance Sheet'!J17</f>
        <v>1720670.8033508153</v>
      </c>
    </row>
    <row r="17" spans="3:12" x14ac:dyDescent="0.35">
      <c r="C17" s="265" t="s">
        <v>43</v>
      </c>
      <c r="D17" s="319">
        <f>'Balance Sheet'!E18</f>
        <v>711491</v>
      </c>
      <c r="E17" s="353">
        <f>'Transaction Structure'!M27</f>
        <v>9004675</v>
      </c>
      <c r="F17" s="354"/>
      <c r="G17" s="307">
        <f t="shared" si="0"/>
        <v>9716166</v>
      </c>
      <c r="H17" s="319">
        <f>G17</f>
        <v>9716166</v>
      </c>
      <c r="I17" s="319">
        <f t="shared" ref="I17:L17" si="2">H17</f>
        <v>9716166</v>
      </c>
      <c r="J17" s="319">
        <f t="shared" si="2"/>
        <v>9716166</v>
      </c>
      <c r="K17" s="319">
        <f t="shared" si="2"/>
        <v>9716166</v>
      </c>
      <c r="L17" s="319">
        <f t="shared" si="2"/>
        <v>9716166</v>
      </c>
    </row>
    <row r="18" spans="3:12" x14ac:dyDescent="0.35">
      <c r="C18" s="265" t="s">
        <v>44</v>
      </c>
      <c r="D18" s="319">
        <f>'Balance Sheet'!E19</f>
        <v>872350</v>
      </c>
      <c r="E18" s="353"/>
      <c r="F18" s="354"/>
      <c r="G18" s="307">
        <f t="shared" si="0"/>
        <v>872350</v>
      </c>
      <c r="H18" s="319">
        <f>'Balance Sheet'!F19</f>
        <v>872350</v>
      </c>
      <c r="I18" s="319">
        <f>'Balance Sheet'!G19</f>
        <v>872350</v>
      </c>
      <c r="J18" s="319">
        <f>'Balance Sheet'!H19</f>
        <v>872350</v>
      </c>
      <c r="K18" s="319">
        <f>'Balance Sheet'!I19</f>
        <v>872350</v>
      </c>
      <c r="L18" s="319">
        <f>'Balance Sheet'!J19</f>
        <v>872350</v>
      </c>
    </row>
    <row r="19" spans="3:12" x14ac:dyDescent="0.35">
      <c r="C19" s="265" t="s">
        <v>45</v>
      </c>
      <c r="D19" s="319">
        <f>'Balance Sheet'!E20</f>
        <v>3193</v>
      </c>
      <c r="E19" s="353"/>
      <c r="F19" s="354"/>
      <c r="G19" s="307">
        <f t="shared" si="0"/>
        <v>3193</v>
      </c>
      <c r="H19" s="319">
        <f>'Balance Sheet'!F20</f>
        <v>3193</v>
      </c>
      <c r="I19" s="319">
        <f>'Balance Sheet'!G20</f>
        <v>3193</v>
      </c>
      <c r="J19" s="319">
        <f>'Balance Sheet'!H20</f>
        <v>3193</v>
      </c>
      <c r="K19" s="319">
        <f>'Balance Sheet'!I20</f>
        <v>3193</v>
      </c>
      <c r="L19" s="319">
        <f>'Balance Sheet'!J20</f>
        <v>3193</v>
      </c>
    </row>
    <row r="20" spans="3:12" x14ac:dyDescent="0.35">
      <c r="C20" s="265" t="s">
        <v>46</v>
      </c>
      <c r="D20" s="319">
        <f>'Balance Sheet'!E21</f>
        <v>307228</v>
      </c>
      <c r="E20" s="353"/>
      <c r="F20" s="354"/>
      <c r="G20" s="307">
        <f t="shared" si="0"/>
        <v>307228</v>
      </c>
      <c r="H20" s="319">
        <f>'Balance Sheet'!F21</f>
        <v>307228</v>
      </c>
      <c r="I20" s="319">
        <f>'Balance Sheet'!G21</f>
        <v>307228</v>
      </c>
      <c r="J20" s="319">
        <f>'Balance Sheet'!H21</f>
        <v>307228</v>
      </c>
      <c r="K20" s="319">
        <f>'Balance Sheet'!I21</f>
        <v>307228</v>
      </c>
      <c r="L20" s="319">
        <f>'Balance Sheet'!J21</f>
        <v>307228</v>
      </c>
    </row>
    <row r="21" spans="3:12" x14ac:dyDescent="0.35">
      <c r="C21" s="265" t="s">
        <v>47</v>
      </c>
      <c r="D21" s="319">
        <f>'Balance Sheet'!E22</f>
        <v>24207</v>
      </c>
      <c r="E21" s="355"/>
      <c r="F21" s="356"/>
      <c r="G21" s="312">
        <f t="shared" si="0"/>
        <v>24207</v>
      </c>
      <c r="H21" s="319">
        <f>'Balance Sheet'!F22</f>
        <v>22608.211070563069</v>
      </c>
      <c r="I21" s="319">
        <f>'Balance Sheet'!G22</f>
        <v>23229.936875003557</v>
      </c>
      <c r="J21" s="319">
        <f>'Balance Sheet'!H22</f>
        <v>23810.685296878648</v>
      </c>
      <c r="K21" s="319">
        <f>'Balance Sheet'!I22</f>
        <v>24346.425716058413</v>
      </c>
      <c r="L21" s="319">
        <f>'Balance Sheet'!J22</f>
        <v>24833.354230379584</v>
      </c>
    </row>
    <row r="22" spans="3:12" x14ac:dyDescent="0.35">
      <c r="C22" s="238" t="s">
        <v>236</v>
      </c>
      <c r="D22" s="308">
        <f>SUM(D15:D21)</f>
        <v>3939884</v>
      </c>
      <c r="E22" s="359"/>
      <c r="F22" s="360"/>
      <c r="G22" s="315">
        <f>SUM(G15:G21)</f>
        <v>12944559</v>
      </c>
      <c r="H22" s="308">
        <f>SUM(H15:H21)</f>
        <v>13014014.447328119</v>
      </c>
      <c r="I22" s="308">
        <f t="shared" ref="I22:L22" si="3">SUM(I15:I21)</f>
        <v>13097267.186584573</v>
      </c>
      <c r="J22" s="308">
        <f t="shared" si="3"/>
        <v>13186539.96959167</v>
      </c>
      <c r="K22" s="308">
        <f t="shared" si="3"/>
        <v>13273552.973872077</v>
      </c>
      <c r="L22" s="308">
        <f t="shared" si="3"/>
        <v>13347989.904019995</v>
      </c>
    </row>
    <row r="23" spans="3:12" x14ac:dyDescent="0.35">
      <c r="C23" s="238" t="s">
        <v>49</v>
      </c>
      <c r="D23" s="308">
        <f>D22+D13</f>
        <v>4812153</v>
      </c>
      <c r="E23" s="359"/>
      <c r="F23" s="360"/>
      <c r="G23" s="314">
        <f>G22+G13</f>
        <v>13638147.85</v>
      </c>
      <c r="H23" s="308">
        <f ca="1">H22+H13</f>
        <v>13887201.056899097</v>
      </c>
      <c r="I23" s="308">
        <f t="shared" ref="I23:L23" ca="1" si="4">I22+I13</f>
        <v>13993744.552918755</v>
      </c>
      <c r="J23" s="308">
        <f t="shared" ca="1" si="4"/>
        <v>14104773.020084206</v>
      </c>
      <c r="K23" s="308">
        <f t="shared" ca="1" si="4"/>
        <v>14820854.905585902</v>
      </c>
      <c r="L23" s="308">
        <f t="shared" ca="1" si="4"/>
        <v>15656529.047484268</v>
      </c>
    </row>
    <row r="24" spans="3:12" x14ac:dyDescent="0.35">
      <c r="E24" s="357"/>
      <c r="F24" s="358"/>
      <c r="G24" s="306"/>
    </row>
    <row r="25" spans="3:12" x14ac:dyDescent="0.35">
      <c r="C25" s="265" t="s">
        <v>51</v>
      </c>
      <c r="D25" s="319">
        <f>'Balance Sheet'!E28</f>
        <v>264901</v>
      </c>
      <c r="E25" s="353"/>
      <c r="F25" s="354"/>
      <c r="G25" s="307">
        <f t="shared" si="0"/>
        <v>264901</v>
      </c>
      <c r="H25" s="319">
        <f>'Balance Sheet'!F28</f>
        <v>276085.13577373687</v>
      </c>
      <c r="I25" s="319">
        <f>'Balance Sheet'!G28</f>
        <v>283677.47700751474</v>
      </c>
      <c r="J25" s="319">
        <f>'Balance Sheet'!H28</f>
        <v>290769.41393270256</v>
      </c>
      <c r="K25" s="319">
        <f>'Balance Sheet'!I28</f>
        <v>297311.72574618831</v>
      </c>
      <c r="L25" s="319">
        <f>'Balance Sheet'!J28</f>
        <v>303257.96026111214</v>
      </c>
    </row>
    <row r="26" spans="3:12" x14ac:dyDescent="0.35">
      <c r="C26" s="265" t="s">
        <v>237</v>
      </c>
      <c r="D26" s="319">
        <f>'Balance Sheet'!E29</f>
        <v>298068</v>
      </c>
      <c r="E26" s="353"/>
      <c r="F26" s="354"/>
      <c r="G26" s="307">
        <f t="shared" si="0"/>
        <v>298068</v>
      </c>
      <c r="H26" s="319">
        <f>'Balance Sheet'!F29</f>
        <v>300354.78536047909</v>
      </c>
      <c r="I26" s="319">
        <f>'Balance Sheet'!G29</f>
        <v>308614.5419578923</v>
      </c>
      <c r="J26" s="319">
        <f>'Balance Sheet'!H29</f>
        <v>316329.90550683963</v>
      </c>
      <c r="K26" s="319">
        <f>'Balance Sheet'!I29</f>
        <v>323447.32838074345</v>
      </c>
      <c r="L26" s="319">
        <f>'Balance Sheet'!J29</f>
        <v>329916.27494835836</v>
      </c>
    </row>
    <row r="27" spans="3:12" x14ac:dyDescent="0.35">
      <c r="C27" s="265" t="s">
        <v>53</v>
      </c>
      <c r="D27" s="319">
        <f>'Balance Sheet'!E30</f>
        <v>108688</v>
      </c>
      <c r="E27" s="353"/>
      <c r="F27" s="354"/>
      <c r="G27" s="307">
        <f t="shared" si="0"/>
        <v>108688</v>
      </c>
      <c r="H27" s="319">
        <f>'Balance Sheet'!F30</f>
        <v>96101.44499066376</v>
      </c>
      <c r="I27" s="319">
        <f>'Balance Sheet'!G30</f>
        <v>98744.234727907024</v>
      </c>
      <c r="J27" s="319">
        <f>'Balance Sheet'!H30</f>
        <v>101212.8405961047</v>
      </c>
      <c r="K27" s="319">
        <f>'Balance Sheet'!I30</f>
        <v>103490.12950951705</v>
      </c>
      <c r="L27" s="319">
        <f>'Balance Sheet'!J30</f>
        <v>105559.9320997074</v>
      </c>
    </row>
    <row r="28" spans="3:12" x14ac:dyDescent="0.35">
      <c r="C28" s="265" t="s">
        <v>54</v>
      </c>
      <c r="D28" s="319">
        <f>'Balance Sheet'!E31</f>
        <v>0</v>
      </c>
      <c r="E28" s="353"/>
      <c r="F28" s="354"/>
      <c r="G28" s="307">
        <f t="shared" si="0"/>
        <v>0</v>
      </c>
      <c r="H28" s="319">
        <f>'Balance Sheet'!F31</f>
        <v>0</v>
      </c>
      <c r="I28" s="319">
        <f>'Balance Sheet'!G31</f>
        <v>0</v>
      </c>
      <c r="J28" s="319">
        <f>'Balance Sheet'!H31</f>
        <v>0</v>
      </c>
      <c r="K28" s="319">
        <f>'Balance Sheet'!I31</f>
        <v>0</v>
      </c>
      <c r="L28" s="319">
        <f>'Balance Sheet'!J31</f>
        <v>0</v>
      </c>
    </row>
    <row r="29" spans="3:12" x14ac:dyDescent="0.35">
      <c r="C29" s="265" t="s">
        <v>55</v>
      </c>
      <c r="D29" s="319">
        <f>'Balance Sheet'!E32</f>
        <v>68551</v>
      </c>
      <c r="E29" s="355"/>
      <c r="F29" s="356"/>
      <c r="G29" s="314">
        <f t="shared" si="0"/>
        <v>68551</v>
      </c>
      <c r="H29" s="352">
        <f>'Balance Sheet'!F32</f>
        <v>68551</v>
      </c>
      <c r="I29" s="352">
        <f>'Balance Sheet'!G32</f>
        <v>68551</v>
      </c>
      <c r="J29" s="352">
        <f>'Balance Sheet'!H32</f>
        <v>68551</v>
      </c>
      <c r="K29" s="352">
        <f>'Balance Sheet'!I32</f>
        <v>68551</v>
      </c>
      <c r="L29" s="352">
        <f>'Balance Sheet'!J32</f>
        <v>68551</v>
      </c>
    </row>
    <row r="30" spans="3:12" x14ac:dyDescent="0.35">
      <c r="C30" s="238" t="s">
        <v>56</v>
      </c>
      <c r="D30" s="307">
        <f>SUM(D25:D29)</f>
        <v>740208</v>
      </c>
      <c r="E30" s="353"/>
      <c r="F30" s="354"/>
      <c r="G30" s="307">
        <f>SUM(G25:G29)</f>
        <v>740208</v>
      </c>
      <c r="H30" s="307">
        <f>SUM(H25:H29)</f>
        <v>741092.3661248798</v>
      </c>
      <c r="I30" s="307">
        <f t="shared" ref="I30:L30" si="5">SUM(I25:I29)</f>
        <v>759587.25369331404</v>
      </c>
      <c r="J30" s="307">
        <f t="shared" si="5"/>
        <v>776863.16003564699</v>
      </c>
      <c r="K30" s="307">
        <f t="shared" si="5"/>
        <v>792800.18363644881</v>
      </c>
      <c r="L30" s="307">
        <f t="shared" si="5"/>
        <v>807285.16730917792</v>
      </c>
    </row>
    <row r="31" spans="3:12" x14ac:dyDescent="0.35">
      <c r="E31" s="357"/>
      <c r="F31" s="358"/>
      <c r="G31" s="306"/>
    </row>
    <row r="32" spans="3:12" x14ac:dyDescent="0.35">
      <c r="C32" s="265" t="s">
        <v>185</v>
      </c>
      <c r="D32" s="307"/>
      <c r="E32" s="353"/>
      <c r="F32" s="354"/>
      <c r="G32" s="307">
        <f>'Transaction Structure'!F9</f>
        <v>0</v>
      </c>
      <c r="H32" s="319">
        <f ca="1">'Pro Forma Debt Schedule'!E28</f>
        <v>0</v>
      </c>
      <c r="I32" s="319">
        <f ca="1">'Pro Forma Debt Schedule'!F28</f>
        <v>0</v>
      </c>
      <c r="J32" s="319">
        <f ca="1">'Pro Forma Debt Schedule'!G28</f>
        <v>0</v>
      </c>
      <c r="K32" s="319">
        <f ca="1">'Pro Forma Debt Schedule'!H28</f>
        <v>0</v>
      </c>
      <c r="L32" s="319">
        <f ca="1">'Pro Forma Debt Schedule'!I28</f>
        <v>0</v>
      </c>
    </row>
    <row r="33" spans="3:12" x14ac:dyDescent="0.35">
      <c r="C33" s="265" t="s">
        <v>186</v>
      </c>
      <c r="D33" s="307"/>
      <c r="E33" s="353">
        <f>'Transaction Structure'!F10</f>
        <v>1910564.25</v>
      </c>
      <c r="F33" s="354"/>
      <c r="G33" s="307">
        <f t="shared" si="0"/>
        <v>1910564.25</v>
      </c>
      <c r="H33" s="319">
        <f ca="1">'Pro Forma Debt Schedule'!E40</f>
        <v>1364774.9111819244</v>
      </c>
      <c r="I33" s="319">
        <f ca="1">'Pro Forma Debt Schedule'!F40</f>
        <v>692010.66657575185</v>
      </c>
      <c r="J33" s="319">
        <f ca="1">'Pro Forma Debt Schedule'!G40</f>
        <v>108929.5155341191</v>
      </c>
      <c r="K33" s="319">
        <f ca="1">'Pro Forma Debt Schedule'!H40</f>
        <v>0</v>
      </c>
      <c r="L33" s="319">
        <f ca="1">'Pro Forma Debt Schedule'!I40</f>
        <v>0</v>
      </c>
    </row>
    <row r="34" spans="3:12" x14ac:dyDescent="0.35">
      <c r="C34" s="265" t="s">
        <v>142</v>
      </c>
      <c r="D34" s="307"/>
      <c r="E34" s="353">
        <f>'Transaction Structure'!F11</f>
        <v>1364688.75</v>
      </c>
      <c r="F34" s="354"/>
      <c r="G34" s="307">
        <f t="shared" si="0"/>
        <v>1364688.75</v>
      </c>
      <c r="H34" s="319">
        <f>'Pro Forma Debt Schedule'!E53</f>
        <v>1364688.75</v>
      </c>
      <c r="I34" s="319">
        <f>'Pro Forma Debt Schedule'!F53</f>
        <v>1364688.75</v>
      </c>
      <c r="J34" s="319">
        <f>'Pro Forma Debt Schedule'!G53</f>
        <v>1364688.75</v>
      </c>
      <c r="K34" s="319">
        <f>'Pro Forma Debt Schedule'!H53</f>
        <v>1364688.75</v>
      </c>
      <c r="L34" s="319">
        <f>'Pro Forma Debt Schedule'!I53</f>
        <v>1364688.75</v>
      </c>
    </row>
    <row r="35" spans="3:12" x14ac:dyDescent="0.35">
      <c r="C35" s="265" t="s">
        <v>187</v>
      </c>
      <c r="D35" s="307"/>
      <c r="E35" s="353">
        <f>'Transaction Structure'!F12</f>
        <v>927988.35</v>
      </c>
      <c r="F35" s="354"/>
      <c r="G35" s="307">
        <f t="shared" si="0"/>
        <v>927988.35</v>
      </c>
      <c r="H35" s="319">
        <f>'Pro Forma Debt Schedule'!E65</f>
        <v>927988.35</v>
      </c>
      <c r="I35" s="319">
        <f>'Pro Forma Debt Schedule'!F65</f>
        <v>927988.35</v>
      </c>
      <c r="J35" s="319">
        <f>'Pro Forma Debt Schedule'!G65</f>
        <v>927988.35</v>
      </c>
      <c r="K35" s="319">
        <f>'Pro Forma Debt Schedule'!H65</f>
        <v>927988.35</v>
      </c>
      <c r="L35" s="319">
        <f>'Pro Forma Debt Schedule'!I65</f>
        <v>927988.35</v>
      </c>
    </row>
    <row r="36" spans="3:12" x14ac:dyDescent="0.35">
      <c r="C36" s="265" t="s">
        <v>188</v>
      </c>
      <c r="D36" s="307"/>
      <c r="E36" s="353">
        <f>'Transaction Structure'!F13</f>
        <v>545875.5</v>
      </c>
      <c r="F36" s="354"/>
      <c r="G36" s="307">
        <f t="shared" si="0"/>
        <v>545875.5</v>
      </c>
      <c r="H36" s="319">
        <f>'Pro Forma Debt Schedule'!E77</f>
        <v>545875.5</v>
      </c>
      <c r="I36" s="319">
        <f>'Pro Forma Debt Schedule'!F77</f>
        <v>545875.5</v>
      </c>
      <c r="J36" s="319">
        <f>'Pro Forma Debt Schedule'!G77</f>
        <v>545875.5</v>
      </c>
      <c r="K36" s="319">
        <f>'Pro Forma Debt Schedule'!H77</f>
        <v>545875.5</v>
      </c>
      <c r="L36" s="319">
        <f>'Pro Forma Debt Schedule'!I77</f>
        <v>545875.5</v>
      </c>
    </row>
    <row r="37" spans="3:12" x14ac:dyDescent="0.35">
      <c r="C37" s="230" t="s">
        <v>238</v>
      </c>
      <c r="D37" s="319">
        <f>'Balance Sheet'!E37</f>
        <v>1349339</v>
      </c>
      <c r="E37" s="353"/>
      <c r="F37" s="354">
        <f>-D37</f>
        <v>-1349339</v>
      </c>
      <c r="G37" s="307">
        <f t="shared" si="0"/>
        <v>0</v>
      </c>
      <c r="H37" s="319">
        <f>G37</f>
        <v>0</v>
      </c>
      <c r="I37" s="319">
        <f t="shared" ref="I37:L37" si="6">H37</f>
        <v>0</v>
      </c>
      <c r="J37" s="319">
        <f t="shared" si="6"/>
        <v>0</v>
      </c>
      <c r="K37" s="319">
        <f t="shared" si="6"/>
        <v>0</v>
      </c>
      <c r="L37" s="319">
        <f t="shared" si="6"/>
        <v>0</v>
      </c>
    </row>
    <row r="38" spans="3:12" x14ac:dyDescent="0.35">
      <c r="C38" s="238" t="s">
        <v>239</v>
      </c>
      <c r="D38" s="307">
        <f>SUM(D32:D37)</f>
        <v>1349339</v>
      </c>
      <c r="E38" s="353"/>
      <c r="F38" s="354"/>
      <c r="G38" s="307">
        <f>SUM(G32:G37)</f>
        <v>4749116.8499999996</v>
      </c>
      <c r="H38" s="319">
        <f t="shared" ref="H38:L38" ca="1" si="7">SUM(H32:H37)</f>
        <v>4203327.5111819245</v>
      </c>
      <c r="I38" s="319">
        <f t="shared" ca="1" si="7"/>
        <v>3530563.2665757518</v>
      </c>
      <c r="J38" s="319">
        <f t="shared" ca="1" si="7"/>
        <v>2947482.1155341193</v>
      </c>
      <c r="K38" s="319">
        <f t="shared" ca="1" si="7"/>
        <v>2838552.6</v>
      </c>
      <c r="L38" s="319">
        <f t="shared" ca="1" si="7"/>
        <v>2838552.6</v>
      </c>
    </row>
    <row r="39" spans="3:12" x14ac:dyDescent="0.35">
      <c r="C39" s="265" t="s">
        <v>57</v>
      </c>
      <c r="D39" s="319">
        <f>'Balance Sheet'!E35</f>
        <v>4086</v>
      </c>
      <c r="E39" s="353"/>
      <c r="F39" s="354"/>
      <c r="G39" s="307">
        <f t="shared" si="0"/>
        <v>4086</v>
      </c>
      <c r="H39" s="319">
        <f>'Balance Sheet'!F35</f>
        <v>4086</v>
      </c>
      <c r="I39" s="319">
        <f>'Balance Sheet'!G35</f>
        <v>4086</v>
      </c>
      <c r="J39" s="319">
        <f>'Balance Sheet'!H35</f>
        <v>4086</v>
      </c>
      <c r="K39" s="319">
        <f>'Balance Sheet'!I35</f>
        <v>4086</v>
      </c>
      <c r="L39" s="319">
        <f>'Balance Sheet'!J35</f>
        <v>4086</v>
      </c>
    </row>
    <row r="40" spans="3:12" x14ac:dyDescent="0.35">
      <c r="C40" s="265" t="s">
        <v>58</v>
      </c>
      <c r="D40" s="319">
        <f>'Balance Sheet'!E36</f>
        <v>595434</v>
      </c>
      <c r="E40" s="353"/>
      <c r="F40" s="354"/>
      <c r="G40" s="307">
        <f t="shared" si="0"/>
        <v>595434</v>
      </c>
      <c r="H40" s="319">
        <f>'Balance Sheet'!F36</f>
        <v>595434</v>
      </c>
      <c r="I40" s="319">
        <f>'Balance Sheet'!G36</f>
        <v>595434</v>
      </c>
      <c r="J40" s="319">
        <f>'Balance Sheet'!H36</f>
        <v>595434</v>
      </c>
      <c r="K40" s="319">
        <f>'Balance Sheet'!I36</f>
        <v>595434</v>
      </c>
      <c r="L40" s="319">
        <f>'Balance Sheet'!J36</f>
        <v>595434</v>
      </c>
    </row>
    <row r="41" spans="3:12" x14ac:dyDescent="0.35">
      <c r="C41" s="265" t="s">
        <v>60</v>
      </c>
      <c r="D41" s="319">
        <f>'Balance Sheet'!E38</f>
        <v>283406</v>
      </c>
      <c r="E41" s="353"/>
      <c r="F41" s="354"/>
      <c r="G41" s="307">
        <f t="shared" si="0"/>
        <v>283406</v>
      </c>
      <c r="H41" s="319">
        <f>'Balance Sheet'!F38</f>
        <v>283406</v>
      </c>
      <c r="I41" s="319">
        <f>'Balance Sheet'!G38</f>
        <v>283406</v>
      </c>
      <c r="J41" s="319">
        <f>'Balance Sheet'!H38</f>
        <v>283406</v>
      </c>
      <c r="K41" s="319">
        <f>'Balance Sheet'!I38</f>
        <v>283406</v>
      </c>
      <c r="L41" s="319">
        <f>'Balance Sheet'!J38</f>
        <v>283406</v>
      </c>
    </row>
    <row r="42" spans="3:12" x14ac:dyDescent="0.35">
      <c r="C42" s="265" t="s">
        <v>61</v>
      </c>
      <c r="D42" s="319">
        <f>'Balance Sheet'!E39</f>
        <v>3948</v>
      </c>
      <c r="E42" s="355"/>
      <c r="F42" s="356"/>
      <c r="G42" s="307">
        <f t="shared" si="0"/>
        <v>3948</v>
      </c>
      <c r="H42" s="319">
        <f>'Balance Sheet'!F39</f>
        <v>3396.7043925240669</v>
      </c>
      <c r="I42" s="319">
        <f>'Balance Sheet'!G39</f>
        <v>3490.1137633184799</v>
      </c>
      <c r="J42" s="319">
        <f>'Balance Sheet'!H39</f>
        <v>3577.3666074014413</v>
      </c>
      <c r="K42" s="319">
        <f>'Balance Sheet'!I39</f>
        <v>3657.8573560679733</v>
      </c>
      <c r="L42" s="319">
        <f>'Balance Sheet'!J39</f>
        <v>3731.0145031893335</v>
      </c>
    </row>
    <row r="43" spans="3:12" x14ac:dyDescent="0.35">
      <c r="C43" s="238" t="s">
        <v>240</v>
      </c>
      <c r="D43" s="308">
        <f>SUM(D38:D42)</f>
        <v>2236213</v>
      </c>
      <c r="E43" s="359"/>
      <c r="F43" s="360"/>
      <c r="G43" s="315">
        <f>SUM(G38:G42)</f>
        <v>5635990.8499999996</v>
      </c>
      <c r="H43" s="308">
        <f ca="1">SUM(H38:H42)</f>
        <v>5089650.2155744489</v>
      </c>
      <c r="I43" s="308">
        <f t="shared" ref="I43:L43" ca="1" si="8">SUM(I38:I42)</f>
        <v>4416979.3803390702</v>
      </c>
      <c r="J43" s="308">
        <f t="shared" ca="1" si="8"/>
        <v>3833985.4821415208</v>
      </c>
      <c r="K43" s="308">
        <f t="shared" ca="1" si="8"/>
        <v>3725136.4573560678</v>
      </c>
      <c r="L43" s="308">
        <f t="shared" ca="1" si="8"/>
        <v>3725209.6145031895</v>
      </c>
    </row>
    <row r="44" spans="3:12" x14ac:dyDescent="0.35">
      <c r="C44" s="238" t="s">
        <v>63</v>
      </c>
      <c r="D44" s="308">
        <f>D43+D30</f>
        <v>2976421</v>
      </c>
      <c r="E44" s="359"/>
      <c r="F44" s="360"/>
      <c r="G44" s="315">
        <f>G43+G30</f>
        <v>6376198.8499999996</v>
      </c>
      <c r="H44" s="308">
        <f ca="1">H43+H30</f>
        <v>5830742.5816993285</v>
      </c>
      <c r="I44" s="308">
        <f t="shared" ref="I44:L44" ca="1" si="9">I43+I30</f>
        <v>5176566.6340323845</v>
      </c>
      <c r="J44" s="308">
        <f t="shared" ca="1" si="9"/>
        <v>4610848.6421771683</v>
      </c>
      <c r="K44" s="308">
        <f t="shared" ca="1" si="9"/>
        <v>4517936.6409925167</v>
      </c>
      <c r="L44" s="308">
        <f t="shared" ca="1" si="9"/>
        <v>4532494.781812367</v>
      </c>
    </row>
    <row r="45" spans="3:12" x14ac:dyDescent="0.35">
      <c r="E45" s="357"/>
      <c r="F45" s="358"/>
      <c r="G45" s="306"/>
    </row>
    <row r="46" spans="3:12" x14ac:dyDescent="0.35">
      <c r="C46" s="265" t="s">
        <v>241</v>
      </c>
      <c r="D46" s="352">
        <f>'Balance Sheet'!E50</f>
        <v>1835732</v>
      </c>
      <c r="E46" s="355">
        <f>'Transaction Structure'!F14</f>
        <v>7261949</v>
      </c>
      <c r="F46" s="356">
        <f>-D46</f>
        <v>-1835732</v>
      </c>
      <c r="G46" s="314">
        <f>SUM(D46:F46)</f>
        <v>7261949</v>
      </c>
      <c r="H46" s="352">
        <f ca="1">G46+'Pro Forma Income Statement'!F27</f>
        <v>8056458.4751997683</v>
      </c>
      <c r="I46" s="352">
        <f ca="1">H46+'Pro Forma Income Statement'!G27</f>
        <v>8817177.918886371</v>
      </c>
      <c r="J46" s="352">
        <f ca="1">I46+'Pro Forma Income Statement'!H27</f>
        <v>9493924.3779070377</v>
      </c>
      <c r="K46" s="352">
        <f ca="1">J46+'Pro Forma Income Statement'!I27</f>
        <v>10302918.264593383</v>
      </c>
      <c r="L46" s="352">
        <f ca="1">K46+'Pro Forma Income Statement'!J27</f>
        <v>11124034.2656719</v>
      </c>
    </row>
    <row r="47" spans="3:12" x14ac:dyDescent="0.35">
      <c r="C47" s="238" t="s">
        <v>242</v>
      </c>
      <c r="D47" s="307">
        <f>D46</f>
        <v>1835732</v>
      </c>
      <c r="E47" s="312"/>
      <c r="F47" s="311"/>
      <c r="G47" s="307">
        <f>G46</f>
        <v>7261949</v>
      </c>
      <c r="H47" s="307">
        <f ca="1">H46</f>
        <v>8056458.4751997683</v>
      </c>
      <c r="I47" s="307">
        <f t="shared" ref="I47:L47" ca="1" si="10">I46</f>
        <v>8817177.918886371</v>
      </c>
      <c r="J47" s="307">
        <f t="shared" ca="1" si="10"/>
        <v>9493924.3779070377</v>
      </c>
      <c r="K47" s="307">
        <f t="shared" ca="1" si="10"/>
        <v>10302918.264593383</v>
      </c>
      <c r="L47" s="307">
        <f t="shared" ca="1" si="10"/>
        <v>11124034.2656719</v>
      </c>
    </row>
    <row r="48" spans="3:12" x14ac:dyDescent="0.35">
      <c r="D48" s="307"/>
      <c r="E48" s="312"/>
      <c r="F48" s="311"/>
      <c r="G48" s="307">
        <f t="shared" si="0"/>
        <v>0</v>
      </c>
      <c r="H48" s="307"/>
      <c r="I48" s="307"/>
      <c r="J48" s="307"/>
      <c r="K48" s="307"/>
      <c r="L48" s="307"/>
    </row>
    <row r="49" spans="3:12" x14ac:dyDescent="0.35">
      <c r="C49" s="238" t="s">
        <v>243</v>
      </c>
      <c r="D49" s="307">
        <f>D47+D44</f>
        <v>4812153</v>
      </c>
      <c r="E49" s="312"/>
      <c r="F49" s="311"/>
      <c r="G49" s="307">
        <f>G47+G44</f>
        <v>13638147.85</v>
      </c>
      <c r="H49" s="307">
        <f ca="1">H47+H44</f>
        <v>13887201.056899097</v>
      </c>
      <c r="I49" s="307">
        <f t="shared" ref="I49:L49" ca="1" si="11">I47+I44</f>
        <v>13993744.552918755</v>
      </c>
      <c r="J49" s="307">
        <f t="shared" ca="1" si="11"/>
        <v>14104773.020084206</v>
      </c>
      <c r="K49" s="307">
        <f t="shared" ca="1" si="11"/>
        <v>14820854.9055859</v>
      </c>
      <c r="L49" s="307">
        <f t="shared" ca="1" si="11"/>
        <v>15656529.047484268</v>
      </c>
    </row>
    <row r="50" spans="3:12" x14ac:dyDescent="0.35">
      <c r="D50" s="316"/>
      <c r="E50" s="314"/>
      <c r="F50" s="313"/>
      <c r="G50" s="314">
        <f t="shared" si="0"/>
        <v>0</v>
      </c>
      <c r="H50" s="316"/>
      <c r="I50" s="316"/>
      <c r="J50" s="316"/>
      <c r="K50" s="316"/>
      <c r="L50" s="316"/>
    </row>
    <row r="51" spans="3:12" x14ac:dyDescent="0.35">
      <c r="C51" s="237" t="s">
        <v>244</v>
      </c>
      <c r="D51" s="307">
        <f>D23-D49</f>
        <v>0</v>
      </c>
      <c r="E51" s="307">
        <f>E23-E49</f>
        <v>0</v>
      </c>
      <c r="F51" s="307">
        <f t="shared" ref="F51:L51" si="12">F23-F49</f>
        <v>0</v>
      </c>
      <c r="G51" s="307">
        <f t="shared" si="12"/>
        <v>0</v>
      </c>
      <c r="H51" s="307">
        <f t="shared" ca="1" si="12"/>
        <v>0</v>
      </c>
      <c r="I51" s="307">
        <f t="shared" ca="1" si="12"/>
        <v>0</v>
      </c>
      <c r="J51" s="307">
        <f t="shared" ca="1" si="12"/>
        <v>0</v>
      </c>
      <c r="K51" s="307">
        <f t="shared" ca="1" si="12"/>
        <v>0</v>
      </c>
      <c r="L51" s="307">
        <f t="shared" ca="1" si="12"/>
        <v>0</v>
      </c>
    </row>
  </sheetData>
  <mergeCells count="1">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C0FF-FCAB-414C-A59B-679F4CDF911E}">
  <dimension ref="B1:I40"/>
  <sheetViews>
    <sheetView showGridLines="0" topLeftCell="A12" zoomScale="102" workbookViewId="0">
      <selection activeCell="E41" sqref="E41"/>
    </sheetView>
  </sheetViews>
  <sheetFormatPr defaultColWidth="8.7265625" defaultRowHeight="14.5" x14ac:dyDescent="0.35"/>
  <cols>
    <col min="1" max="3" width="8.7265625" style="230"/>
    <col min="4" max="4" width="50.08984375" style="230" bestFit="1" customWidth="1"/>
    <col min="5" max="5" width="13.90625" style="230" bestFit="1" customWidth="1"/>
    <col min="6" max="9" width="12.90625" style="230" bestFit="1" customWidth="1"/>
    <col min="10" max="16384" width="8.7265625" style="230"/>
  </cols>
  <sheetData>
    <row r="1" spans="2:9" s="109" customFormat="1" ht="15.5" x14ac:dyDescent="0.35">
      <c r="B1" s="108" t="str">
        <f>Intro!B1</f>
        <v>Crocs Inc (CROX)</v>
      </c>
    </row>
    <row r="2" spans="2:9" s="109" customFormat="1" x14ac:dyDescent="0.35">
      <c r="B2" s="110" t="s">
        <v>180</v>
      </c>
    </row>
    <row r="3" spans="2:9" s="109" customFormat="1" x14ac:dyDescent="0.35">
      <c r="B3" s="111" t="s">
        <v>4</v>
      </c>
    </row>
    <row r="5" spans="2:9" x14ac:dyDescent="0.35">
      <c r="E5" s="270">
        <v>2025</v>
      </c>
      <c r="F5" s="270">
        <v>2026</v>
      </c>
      <c r="G5" s="270">
        <v>2027</v>
      </c>
      <c r="H5" s="270">
        <v>2028</v>
      </c>
      <c r="I5" s="270">
        <v>2029</v>
      </c>
    </row>
    <row r="6" spans="2:9" x14ac:dyDescent="0.35">
      <c r="D6" s="238" t="s">
        <v>18</v>
      </c>
      <c r="E6" s="319">
        <f ca="1">'Pro Forma Income Statement'!F27</f>
        <v>794509.47519976832</v>
      </c>
      <c r="F6" s="319">
        <f ca="1">'Pro Forma Income Statement'!G27</f>
        <v>760719.44368660171</v>
      </c>
      <c r="G6" s="319">
        <f ca="1">'Pro Forma Income Statement'!H27</f>
        <v>676746.45902066713</v>
      </c>
      <c r="H6" s="319">
        <f ca="1">'Pro Forma Income Statement'!I27</f>
        <v>808993.88668634638</v>
      </c>
      <c r="I6" s="319">
        <f ca="1">'Pro Forma Income Statement'!J27</f>
        <v>821116.00107851694</v>
      </c>
    </row>
    <row r="7" spans="2:9" x14ac:dyDescent="0.35">
      <c r="D7" s="265" t="s">
        <v>92</v>
      </c>
      <c r="E7" s="319">
        <f>-'Asset Schedule'!F8</f>
        <v>45004.165545677926</v>
      </c>
      <c r="F7" s="319">
        <f>-'Asset Schedule'!G8</f>
        <v>60196.580157019744</v>
      </c>
      <c r="G7" s="319">
        <f>-'Asset Schedule'!H8</f>
        <v>77507.790165037004</v>
      </c>
      <c r="H7" s="319">
        <f>-'Asset Schedule'!I8</f>
        <v>95921.933206713962</v>
      </c>
      <c r="I7" s="319">
        <f>-'Asset Schedule'!J8</f>
        <v>113914.77421498677</v>
      </c>
    </row>
    <row r="8" spans="2:9" x14ac:dyDescent="0.35">
      <c r="D8" s="265" t="s">
        <v>257</v>
      </c>
      <c r="E8" s="319">
        <f>-'Asset Schedule'!F14</f>
        <v>22532.418364281366</v>
      </c>
      <c r="F8" s="319">
        <f>-'Asset Schedule'!G14</f>
        <v>22387.519047552218</v>
      </c>
      <c r="G8" s="319">
        <f>-'Asset Schedule'!H14</f>
        <v>22243.551535463343</v>
      </c>
      <c r="H8" s="319">
        <f>-'Asset Schedule'!I14</f>
        <v>22100.509835854766</v>
      </c>
      <c r="I8" s="319">
        <f>-'Asset Schedule'!J14</f>
        <v>21958.387995100307</v>
      </c>
    </row>
    <row r="9" spans="2:9" x14ac:dyDescent="0.35">
      <c r="D9" s="239" t="s">
        <v>94</v>
      </c>
      <c r="E9" s="317">
        <f>SUM(E7:E8)</f>
        <v>67536.583909959299</v>
      </c>
      <c r="F9" s="317">
        <f t="shared" ref="F9:I9" si="0">SUM(F7:F8)</f>
        <v>82584.099204571961</v>
      </c>
      <c r="G9" s="317">
        <f t="shared" si="0"/>
        <v>99751.341700500343</v>
      </c>
      <c r="H9" s="317">
        <f t="shared" si="0"/>
        <v>118022.44304256873</v>
      </c>
      <c r="I9" s="317">
        <f t="shared" si="0"/>
        <v>135873.16221008709</v>
      </c>
    </row>
    <row r="10" spans="2:9" x14ac:dyDescent="0.35">
      <c r="D10" s="265" t="s">
        <v>258</v>
      </c>
      <c r="E10" s="320">
        <f>'Pro Forma Balance Sheet'!G8-'Pro Forma Balance Sheet'!H8</f>
        <v>-56587.488121180038</v>
      </c>
      <c r="F10" s="320">
        <f>'Pro Forma Balance Sheet'!H8-'Pro Forma Balance Sheet'!I8</f>
        <v>-8641.7234233324998</v>
      </c>
      <c r="G10" s="320">
        <f>'Pro Forma Balance Sheet'!I8-'Pro Forma Balance Sheet'!J8</f>
        <v>-8072.1552886127611</v>
      </c>
      <c r="H10" s="320">
        <f>'Pro Forma Balance Sheet'!J8-'Pro Forma Balance Sheet'!K8</f>
        <v>-7446.5632537453203</v>
      </c>
      <c r="I10" s="320">
        <f>'Pro Forma Balance Sheet'!K8-'Pro Forma Balance Sheet'!L8</f>
        <v>-6768.0986017374089</v>
      </c>
    </row>
    <row r="11" spans="2:9" x14ac:dyDescent="0.35">
      <c r="D11" s="265" t="s">
        <v>96</v>
      </c>
      <c r="E11" s="320">
        <f>'Pro Forma Balance Sheet'!G9-'Pro Forma Balance Sheet'!H9</f>
        <v>-86623.456893169612</v>
      </c>
      <c r="F11" s="320">
        <f>'Pro Forma Balance Sheet'!H9-'Pro Forma Balance Sheet'!I9</f>
        <v>-12179.130064562254</v>
      </c>
      <c r="G11" s="320">
        <f>'Pro Forma Balance Sheet'!I9-'Pro Forma Balance Sheet'!J9</f>
        <v>-11376.414673943305</v>
      </c>
      <c r="H11" s="320">
        <f>'Pro Forma Balance Sheet'!J9-'Pro Forma Balance Sheet'!K9</f>
        <v>-10494.742536712612</v>
      </c>
      <c r="I11" s="320">
        <f>'Pro Forma Balance Sheet'!K9-'Pro Forma Balance Sheet'!L9</f>
        <v>-9538.5548833678477</v>
      </c>
    </row>
    <row r="12" spans="2:9" x14ac:dyDescent="0.35">
      <c r="D12" s="265" t="s">
        <v>97</v>
      </c>
      <c r="E12" s="320">
        <f>'Pro Forma Balance Sheet'!G10-'Pro Forma Balance Sheet'!H10</f>
        <v>0</v>
      </c>
      <c r="F12" s="320">
        <f>'Pro Forma Balance Sheet'!H10-'Pro Forma Balance Sheet'!I10</f>
        <v>0</v>
      </c>
      <c r="G12" s="320">
        <f>'Pro Forma Balance Sheet'!I10-'Pro Forma Balance Sheet'!J10</f>
        <v>0</v>
      </c>
      <c r="H12" s="320">
        <f>'Pro Forma Balance Sheet'!J10-'Pro Forma Balance Sheet'!K10</f>
        <v>0</v>
      </c>
      <c r="I12" s="320">
        <f>'Pro Forma Balance Sheet'!K10-'Pro Forma Balance Sheet'!L10</f>
        <v>0</v>
      </c>
    </row>
    <row r="13" spans="2:9" x14ac:dyDescent="0.35">
      <c r="D13" s="265" t="s">
        <v>98</v>
      </c>
      <c r="E13" s="320">
        <f>'Pro Forma Balance Sheet'!G11-'Pro Forma Balance Sheet'!H11</f>
        <v>0</v>
      </c>
      <c r="F13" s="320">
        <f>'Pro Forma Balance Sheet'!H11-'Pro Forma Balance Sheet'!I11</f>
        <v>0</v>
      </c>
      <c r="G13" s="320">
        <f>'Pro Forma Balance Sheet'!I11-'Pro Forma Balance Sheet'!J11</f>
        <v>0</v>
      </c>
      <c r="H13" s="320">
        <f>'Pro Forma Balance Sheet'!J11-'Pro Forma Balance Sheet'!K11</f>
        <v>0</v>
      </c>
      <c r="I13" s="320">
        <f>'Pro Forma Balance Sheet'!K11-'Pro Forma Balance Sheet'!L11</f>
        <v>0</v>
      </c>
    </row>
    <row r="14" spans="2:9" x14ac:dyDescent="0.35">
      <c r="D14" s="265" t="s">
        <v>99</v>
      </c>
      <c r="E14" s="320">
        <f>'Pro Forma Balance Sheet'!G12-'Pro Forma Balance Sheet'!H12</f>
        <v>4060.0478433705939</v>
      </c>
      <c r="F14" s="320">
        <f>'Pro Forma Balance Sheet'!H12-'Pro Forma Balance Sheet'!I12</f>
        <v>-1307.9811843073257</v>
      </c>
      <c r="G14" s="320">
        <f>'Pro Forma Balance Sheet'!I12-'Pro Forma Balance Sheet'!J12</f>
        <v>-1221.7733335234152</v>
      </c>
      <c r="H14" s="320">
        <f>'Pro Forma Balance Sheet'!J12-'Pro Forma Balance Sheet'!K12</f>
        <v>-1127.0859001753415</v>
      </c>
      <c r="I14" s="320">
        <f>'Pro Forma Balance Sheet'!K12-'Pro Forma Balance Sheet'!L12</f>
        <v>-1024.3958514927217</v>
      </c>
    </row>
    <row r="15" spans="2:9" x14ac:dyDescent="0.35">
      <c r="D15" s="265" t="s">
        <v>100</v>
      </c>
      <c r="E15" s="320">
        <f>'Pro Forma Balance Sheet'!G21-'Pro Forma Balance Sheet'!H21</f>
        <v>1598.7889294369306</v>
      </c>
      <c r="F15" s="320">
        <f>'Pro Forma Balance Sheet'!H21-'Pro Forma Balance Sheet'!I21</f>
        <v>-621.72580444048799</v>
      </c>
      <c r="G15" s="320">
        <f>'Pro Forma Balance Sheet'!I21-'Pro Forma Balance Sheet'!J21</f>
        <v>-580.74842187509057</v>
      </c>
      <c r="H15" s="320">
        <f>'Pro Forma Balance Sheet'!J21-'Pro Forma Balance Sheet'!K21</f>
        <v>-535.74041917976501</v>
      </c>
      <c r="I15" s="320">
        <f>'Pro Forma Balance Sheet'!K21-'Pro Forma Balance Sheet'!L21</f>
        <v>-486.92851432117095</v>
      </c>
    </row>
    <row r="16" spans="2:9" x14ac:dyDescent="0.35">
      <c r="D16" s="265" t="s">
        <v>101</v>
      </c>
      <c r="E16" s="320">
        <f>'Pro Forma Balance Sheet'!H25-'Pro Forma Balance Sheet'!G25</f>
        <v>11184.135773736867</v>
      </c>
      <c r="F16" s="320">
        <f>'Pro Forma Balance Sheet'!I25-'Pro Forma Balance Sheet'!H25</f>
        <v>7592.3412337778718</v>
      </c>
      <c r="G16" s="320">
        <f>'Pro Forma Balance Sheet'!J25-'Pro Forma Balance Sheet'!I25</f>
        <v>7091.9369251878234</v>
      </c>
      <c r="H16" s="320">
        <f>'Pro Forma Balance Sheet'!K25-'Pro Forma Balance Sheet'!J25</f>
        <v>6542.3118134857505</v>
      </c>
      <c r="I16" s="320">
        <f>'Pro Forma Balance Sheet'!L25-'Pro Forma Balance Sheet'!K25</f>
        <v>5946.2345149238245</v>
      </c>
    </row>
    <row r="17" spans="4:9" x14ac:dyDescent="0.35">
      <c r="D17" s="265" t="s">
        <v>102</v>
      </c>
      <c r="E17" s="320">
        <f>'Pro Forma Balance Sheet'!H26-'Pro Forma Balance Sheet'!G26</f>
        <v>2286.7853604790871</v>
      </c>
      <c r="F17" s="320">
        <f>'Pro Forma Balance Sheet'!I26-'Pro Forma Balance Sheet'!H26</f>
        <v>8259.7565974132158</v>
      </c>
      <c r="G17" s="320">
        <f>'Pro Forma Balance Sheet'!J26-'Pro Forma Balance Sheet'!I26</f>
        <v>7715.3635489473236</v>
      </c>
      <c r="H17" s="320">
        <f>'Pro Forma Balance Sheet'!K26-'Pro Forma Balance Sheet'!J26</f>
        <v>7117.4228739038226</v>
      </c>
      <c r="I17" s="320">
        <f>'Pro Forma Balance Sheet'!L26-'Pro Forma Balance Sheet'!K26</f>
        <v>6468.9465676149121</v>
      </c>
    </row>
    <row r="18" spans="4:9" x14ac:dyDescent="0.35">
      <c r="D18" s="265" t="s">
        <v>103</v>
      </c>
      <c r="E18" s="320">
        <f>'Pro Forma Balance Sheet'!H27-'Pro Forma Balance Sheet'!G27</f>
        <v>-12586.55500933624</v>
      </c>
      <c r="F18" s="320">
        <f>'Pro Forma Balance Sheet'!I27-'Pro Forma Balance Sheet'!H27</f>
        <v>2642.7897372432635</v>
      </c>
      <c r="G18" s="320">
        <f>'Pro Forma Balance Sheet'!J27-'Pro Forma Balance Sheet'!I27</f>
        <v>2468.605868197672</v>
      </c>
      <c r="H18" s="320">
        <f>'Pro Forma Balance Sheet'!K27-'Pro Forma Balance Sheet'!J27</f>
        <v>2277.2889134123543</v>
      </c>
      <c r="I18" s="320">
        <f>'Pro Forma Balance Sheet'!L27-'Pro Forma Balance Sheet'!K27</f>
        <v>2069.8025901903457</v>
      </c>
    </row>
    <row r="19" spans="4:9" x14ac:dyDescent="0.35">
      <c r="D19" s="265" t="s">
        <v>259</v>
      </c>
      <c r="E19" s="320">
        <f>'Pro Forma Balance Sheet'!H28-'Pro Forma Balance Sheet'!G28</f>
        <v>0</v>
      </c>
      <c r="F19" s="320">
        <f>'Pro Forma Balance Sheet'!I28-'Pro Forma Balance Sheet'!H28</f>
        <v>0</v>
      </c>
      <c r="G19" s="320">
        <f>'Pro Forma Balance Sheet'!J28-'Pro Forma Balance Sheet'!I28</f>
        <v>0</v>
      </c>
      <c r="H19" s="320">
        <f>'Pro Forma Balance Sheet'!K28-'Pro Forma Balance Sheet'!J28</f>
        <v>0</v>
      </c>
      <c r="I19" s="320">
        <f>'Pro Forma Balance Sheet'!L28-'Pro Forma Balance Sheet'!K28</f>
        <v>0</v>
      </c>
    </row>
    <row r="20" spans="4:9" x14ac:dyDescent="0.35">
      <c r="D20" s="265" t="s">
        <v>260</v>
      </c>
      <c r="E20" s="320">
        <f>'Pro Forma Balance Sheet'!H29-'Pro Forma Balance Sheet'!G29</f>
        <v>0</v>
      </c>
      <c r="F20" s="320">
        <f>'Pro Forma Balance Sheet'!I29-'Pro Forma Balance Sheet'!H29</f>
        <v>0</v>
      </c>
      <c r="G20" s="320">
        <f>'Pro Forma Balance Sheet'!J29-'Pro Forma Balance Sheet'!I29</f>
        <v>0</v>
      </c>
      <c r="H20" s="320">
        <f>'Pro Forma Balance Sheet'!K29-'Pro Forma Balance Sheet'!J29</f>
        <v>0</v>
      </c>
      <c r="I20" s="320">
        <f>'Pro Forma Balance Sheet'!L29-'Pro Forma Balance Sheet'!K29</f>
        <v>0</v>
      </c>
    </row>
    <row r="21" spans="4:9" x14ac:dyDescent="0.35">
      <c r="D21" s="265" t="s">
        <v>104</v>
      </c>
      <c r="E21" s="320">
        <f>'Pro Forma Balance Sheet'!H42-'Pro Forma Balance Sheet'!G42</f>
        <v>-551.29560747593314</v>
      </c>
      <c r="F21" s="320">
        <f>'Pro Forma Balance Sheet'!I42-'Pro Forma Balance Sheet'!H42</f>
        <v>93.409370794413007</v>
      </c>
      <c r="G21" s="320">
        <f>'Pro Forma Balance Sheet'!J42-'Pro Forma Balance Sheet'!I42</f>
        <v>87.252844082961474</v>
      </c>
      <c r="H21" s="320">
        <f>'Pro Forma Balance Sheet'!K42-'Pro Forma Balance Sheet'!J42</f>
        <v>80.490748666531999</v>
      </c>
      <c r="I21" s="320">
        <f>'Pro Forma Balance Sheet'!L42-'Pro Forma Balance Sheet'!K42</f>
        <v>73.15714712136014</v>
      </c>
    </row>
    <row r="22" spans="4:9" x14ac:dyDescent="0.35">
      <c r="D22" s="239" t="s">
        <v>261</v>
      </c>
      <c r="E22" s="318">
        <f>SUM(E10:E21)</f>
        <v>-137219.03772413835</v>
      </c>
      <c r="F22" s="318">
        <f t="shared" ref="F22:I22" si="1">SUM(F10:F21)</f>
        <v>-4162.2635374138035</v>
      </c>
      <c r="G22" s="318">
        <f t="shared" si="1"/>
        <v>-3887.9325315387919</v>
      </c>
      <c r="H22" s="318">
        <f t="shared" si="1"/>
        <v>-3586.6177603445799</v>
      </c>
      <c r="I22" s="318">
        <f t="shared" si="1"/>
        <v>-3259.8370310687069</v>
      </c>
    </row>
    <row r="23" spans="4:9" x14ac:dyDescent="0.35">
      <c r="D23" s="272" t="s">
        <v>106</v>
      </c>
      <c r="E23" s="310">
        <f ca="1">E22+E9+E6</f>
        <v>724827.02138558927</v>
      </c>
      <c r="F23" s="310">
        <f t="shared" ref="F23:I23" ca="1" si="2">F22+F9+F6</f>
        <v>839141.27935375983</v>
      </c>
      <c r="G23" s="310">
        <f t="shared" ca="1" si="2"/>
        <v>772609.8681896287</v>
      </c>
      <c r="H23" s="310">
        <f t="shared" ca="1" si="2"/>
        <v>923429.71196857048</v>
      </c>
      <c r="I23" s="310">
        <f t="shared" ca="1" si="2"/>
        <v>953729.32625753526</v>
      </c>
    </row>
    <row r="25" spans="4:9" x14ac:dyDescent="0.35">
      <c r="D25" s="265" t="s">
        <v>262</v>
      </c>
      <c r="E25" s="319">
        <f>-'Asset Schedule'!F9</f>
        <v>-153859.33627475056</v>
      </c>
      <c r="F25" s="319">
        <f>-'Asset Schedule'!G9</f>
        <v>-189458.00227495734</v>
      </c>
      <c r="G25" s="319">
        <f>-'Asset Schedule'!H9</f>
        <v>-222901.82338201796</v>
      </c>
      <c r="H25" s="319">
        <f>-'Asset Schedule'!I9</f>
        <v>-249819.58911015373</v>
      </c>
      <c r="I25" s="319">
        <f>-'Asset Schedule'!J9</f>
        <v>-265757.13905644882</v>
      </c>
    </row>
    <row r="26" spans="4:9" x14ac:dyDescent="0.35">
      <c r="D26" s="265" t="s">
        <v>108</v>
      </c>
      <c r="E26" s="319">
        <f>-'Asset Schedule'!F10</f>
        <v>26373.058705584757</v>
      </c>
      <c r="F26" s="319">
        <f>-'Asset Schedule'!G10</f>
        <v>35276.022188327981</v>
      </c>
      <c r="G26" s="319">
        <f>-'Asset Schedule'!H10</f>
        <v>45420.628854632254</v>
      </c>
      <c r="H26" s="319">
        <f>-'Asset Schedule'!I10</f>
        <v>56211.569416751423</v>
      </c>
      <c r="I26" s="319">
        <f>-'Asset Schedule'!J10</f>
        <v>66755.621204797586</v>
      </c>
    </row>
    <row r="27" spans="4:9" x14ac:dyDescent="0.35">
      <c r="D27" s="265" t="s">
        <v>109</v>
      </c>
      <c r="E27" s="319">
        <f>-'Asset Schedule'!F15</f>
        <v>-11104.542598348122</v>
      </c>
      <c r="F27" s="319">
        <f>-'Asset Schedule'!G15</f>
        <v>-11033.132569958047</v>
      </c>
      <c r="G27" s="319">
        <f>-'Asset Schedule'!H15</f>
        <v>-10962.181758335299</v>
      </c>
      <c r="H27" s="319">
        <f>-'Asset Schedule'!I15</f>
        <v>-10891.687210392698</v>
      </c>
      <c r="I27" s="319">
        <f>-'Asset Schedule'!J15</f>
        <v>-10821.645992033495</v>
      </c>
    </row>
    <row r="28" spans="4:9" x14ac:dyDescent="0.35">
      <c r="D28" s="265" t="s">
        <v>263</v>
      </c>
      <c r="E28" s="319">
        <v>0</v>
      </c>
      <c r="F28" s="319">
        <v>0</v>
      </c>
      <c r="G28" s="319">
        <v>0</v>
      </c>
      <c r="H28" s="319">
        <v>0</v>
      </c>
      <c r="I28" s="319">
        <v>0</v>
      </c>
    </row>
    <row r="29" spans="4:9" x14ac:dyDescent="0.35">
      <c r="D29" s="271" t="s">
        <v>264</v>
      </c>
      <c r="E29" s="309">
        <f>SUM(E25:E28)</f>
        <v>-138590.82016751391</v>
      </c>
      <c r="F29" s="309">
        <f t="shared" ref="F29:I29" si="3">SUM(F25:F28)</f>
        <v>-165215.11265658741</v>
      </c>
      <c r="G29" s="309">
        <f t="shared" si="3"/>
        <v>-188443.37628572099</v>
      </c>
      <c r="H29" s="309">
        <f t="shared" si="3"/>
        <v>-204499.70690379501</v>
      </c>
      <c r="I29" s="309">
        <f t="shared" si="3"/>
        <v>-209823.16384368474</v>
      </c>
    </row>
    <row r="31" spans="4:9" x14ac:dyDescent="0.35">
      <c r="D31" s="265" t="s">
        <v>265</v>
      </c>
      <c r="E31" s="351">
        <f ca="1">'Pro Forma Debt Schedule'!E27</f>
        <v>0</v>
      </c>
      <c r="F31" s="351">
        <f ca="1">'Pro Forma Debt Schedule'!F27</f>
        <v>0</v>
      </c>
      <c r="G31" s="351">
        <f ca="1">'Pro Forma Debt Schedule'!G27</f>
        <v>0</v>
      </c>
      <c r="H31" s="351">
        <f ca="1">'Pro Forma Debt Schedule'!H27</f>
        <v>0</v>
      </c>
      <c r="I31" s="351">
        <f ca="1">'Pro Forma Debt Schedule'!I27</f>
        <v>0</v>
      </c>
    </row>
    <row r="32" spans="4:9" x14ac:dyDescent="0.35">
      <c r="D32" s="265" t="s">
        <v>186</v>
      </c>
      <c r="E32" s="351">
        <f ca="1">SUM('Pro Forma Debt Schedule'!E38:E39)</f>
        <v>-545789.33881807537</v>
      </c>
      <c r="F32" s="351">
        <f ca="1">SUM('Pro Forma Debt Schedule'!F38:F39)</f>
        <v>-672764.24460617243</v>
      </c>
      <c r="G32" s="351">
        <f ca="1">SUM('Pro Forma Debt Schedule'!G38:G39)</f>
        <v>-583081.15104163275</v>
      </c>
      <c r="H32" s="351">
        <f ca="1">SUM('Pro Forma Debt Schedule'!H38:H39)</f>
        <v>-108929.5155341191</v>
      </c>
      <c r="I32" s="351">
        <f ca="1">SUM('Pro Forma Debt Schedule'!I38:I39)</f>
        <v>0</v>
      </c>
    </row>
    <row r="33" spans="4:9" x14ac:dyDescent="0.35">
      <c r="D33" s="265" t="s">
        <v>142</v>
      </c>
      <c r="E33" s="351">
        <f>SUM('Pro Forma Debt Schedule'!E51:E52)</f>
        <v>0</v>
      </c>
      <c r="F33" s="351">
        <f>SUM('Pro Forma Debt Schedule'!F51:F52)</f>
        <v>0</v>
      </c>
      <c r="G33" s="351">
        <f>SUM('Pro Forma Debt Schedule'!G51:G52)</f>
        <v>0</v>
      </c>
      <c r="H33" s="351">
        <f>SUM('Pro Forma Debt Schedule'!H51:H52)</f>
        <v>0</v>
      </c>
      <c r="I33" s="351">
        <f>SUM('Pro Forma Debt Schedule'!I51:I52)</f>
        <v>0</v>
      </c>
    </row>
    <row r="34" spans="4:9" x14ac:dyDescent="0.35">
      <c r="D34" s="265" t="s">
        <v>187</v>
      </c>
      <c r="E34" s="351">
        <f>SUM('Pro Forma Debt Schedule'!E63:E64)</f>
        <v>0</v>
      </c>
      <c r="F34" s="351">
        <f>SUM('Pro Forma Debt Schedule'!F63:F64)</f>
        <v>0</v>
      </c>
      <c r="G34" s="351">
        <f>SUM('Pro Forma Debt Schedule'!G63:G64)</f>
        <v>0</v>
      </c>
      <c r="H34" s="351">
        <f>SUM('Pro Forma Debt Schedule'!H63:H64)</f>
        <v>0</v>
      </c>
      <c r="I34" s="351">
        <f>SUM('Pro Forma Debt Schedule'!I63:I64)</f>
        <v>0</v>
      </c>
    </row>
    <row r="35" spans="4:9" x14ac:dyDescent="0.35">
      <c r="D35" s="265" t="s">
        <v>188</v>
      </c>
      <c r="E35" s="351">
        <f>SUM('Pro Forma Debt Schedule'!E75:E76)</f>
        <v>0</v>
      </c>
      <c r="F35" s="351">
        <f>SUM('Pro Forma Debt Schedule'!F75:F76)</f>
        <v>0</v>
      </c>
      <c r="G35" s="351">
        <f>SUM('Pro Forma Debt Schedule'!G75:G76)</f>
        <v>0</v>
      </c>
      <c r="H35" s="351">
        <f>SUM('Pro Forma Debt Schedule'!H75:H76)</f>
        <v>0</v>
      </c>
      <c r="I35" s="351">
        <f>SUM('Pro Forma Debt Schedule'!I75:I76)</f>
        <v>0</v>
      </c>
    </row>
    <row r="36" spans="4:9" x14ac:dyDescent="0.35">
      <c r="D36" s="271" t="s">
        <v>114</v>
      </c>
      <c r="E36" s="308">
        <f ca="1">SUM(E31:E35)</f>
        <v>-545789.33881807537</v>
      </c>
      <c r="F36" s="308">
        <f t="shared" ref="F36:I36" ca="1" si="4">SUM(F31:F35)</f>
        <v>-672764.24460617243</v>
      </c>
      <c r="G36" s="308">
        <f t="shared" ca="1" si="4"/>
        <v>-583081.15104163275</v>
      </c>
      <c r="H36" s="308">
        <f t="shared" ca="1" si="4"/>
        <v>-108929.5155341191</v>
      </c>
      <c r="I36" s="308">
        <f t="shared" ca="1" si="4"/>
        <v>0</v>
      </c>
    </row>
    <row r="38" spans="4:9" x14ac:dyDescent="0.35">
      <c r="D38" s="271" t="s">
        <v>115</v>
      </c>
      <c r="E38" s="309">
        <f ca="1">E36+E29+E23</f>
        <v>40446.862399999984</v>
      </c>
      <c r="F38" s="309">
        <f t="shared" ref="F38:I38" ca="1" si="5">F36+F29+F23</f>
        <v>1161.9220910000149</v>
      </c>
      <c r="G38" s="309">
        <f t="shared" ca="1" si="5"/>
        <v>1085.3408622749848</v>
      </c>
      <c r="H38" s="309">
        <f ca="1">H36+H29+H23</f>
        <v>610000.48953065637</v>
      </c>
      <c r="I38" s="309">
        <f t="shared" ca="1" si="5"/>
        <v>743906.16241385054</v>
      </c>
    </row>
    <row r="39" spans="4:9" x14ac:dyDescent="0.35">
      <c r="D39" s="265" t="s">
        <v>119</v>
      </c>
      <c r="E39" s="320">
        <f>'Pro Forma Balance Sheet'!G7</f>
        <v>1804.8500000000058</v>
      </c>
      <c r="F39" s="300">
        <f ca="1">E40</f>
        <v>42251.712399999989</v>
      </c>
      <c r="G39" s="300">
        <f t="shared" ref="G39:I39" ca="1" si="6">F40</f>
        <v>43413.634491000004</v>
      </c>
      <c r="H39" s="300">
        <f t="shared" ca="1" si="6"/>
        <v>44498.975353274989</v>
      </c>
      <c r="I39" s="300">
        <f t="shared" ca="1" si="6"/>
        <v>654499.46488393133</v>
      </c>
    </row>
    <row r="40" spans="4:9" x14ac:dyDescent="0.35">
      <c r="D40" s="265" t="s">
        <v>160</v>
      </c>
      <c r="E40" s="300">
        <f ca="1">SUM(E38:E39)</f>
        <v>42251.712399999989</v>
      </c>
      <c r="F40" s="300">
        <f t="shared" ref="F40:I40" ca="1" si="7">SUM(F38:F39)</f>
        <v>43413.634491000004</v>
      </c>
      <c r="G40" s="300">
        <f t="shared" ca="1" si="7"/>
        <v>44498.975353274989</v>
      </c>
      <c r="H40" s="300">
        <f t="shared" ca="1" si="7"/>
        <v>654499.46488393133</v>
      </c>
      <c r="I40" s="300">
        <f t="shared" ca="1" si="7"/>
        <v>1398405.6272977819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58C4-5EDE-4F70-9985-28FBD6C54451}">
  <dimension ref="B1:I79"/>
  <sheetViews>
    <sheetView showGridLines="0" topLeftCell="A51" zoomScale="105" workbookViewId="0">
      <selection activeCell="E83" sqref="E83"/>
    </sheetView>
  </sheetViews>
  <sheetFormatPr defaultColWidth="8.7265625" defaultRowHeight="13" x14ac:dyDescent="0.3"/>
  <cols>
    <col min="1" max="2" width="8.7265625" style="15"/>
    <col min="3" max="3" width="32" style="15" customWidth="1"/>
    <col min="4" max="4" width="13.81640625" style="15" bestFit="1" customWidth="1"/>
    <col min="5" max="9" width="15.81640625" style="15" bestFit="1" customWidth="1"/>
    <col min="10" max="16384" width="8.7265625" style="15"/>
  </cols>
  <sheetData>
    <row r="1" spans="2:9" s="232" customFormat="1" x14ac:dyDescent="0.3">
      <c r="B1" s="231" t="str">
        <f>Intro!B1</f>
        <v>Crocs Inc (CROX)</v>
      </c>
    </row>
    <row r="2" spans="2:9" s="232" customFormat="1" x14ac:dyDescent="0.3">
      <c r="B2" s="110" t="s">
        <v>181</v>
      </c>
    </row>
    <row r="3" spans="2:9" s="232" customFormat="1" ht="13.5" x14ac:dyDescent="0.35">
      <c r="B3" s="233" t="s">
        <v>4</v>
      </c>
    </row>
    <row r="5" spans="2:9" x14ac:dyDescent="0.3">
      <c r="E5" s="273">
        <v>2025</v>
      </c>
      <c r="F5" s="273">
        <v>2026</v>
      </c>
      <c r="G5" s="273">
        <v>2027</v>
      </c>
      <c r="H5" s="273">
        <v>2028</v>
      </c>
      <c r="I5" s="273">
        <v>2029</v>
      </c>
    </row>
    <row r="6" spans="2:9" x14ac:dyDescent="0.3">
      <c r="C6" s="15" t="s">
        <v>266</v>
      </c>
      <c r="E6" s="341">
        <f ca="1">'Pro Forma Cash Flow Statement'!E23</f>
        <v>724827.02138558927</v>
      </c>
      <c r="F6" s="341">
        <f ca="1">'Pro Forma Cash Flow Statement'!F23</f>
        <v>839141.27935375983</v>
      </c>
      <c r="G6" s="341">
        <f ca="1">'Pro Forma Cash Flow Statement'!G23</f>
        <v>772609.8681896287</v>
      </c>
      <c r="H6" s="341">
        <f ca="1">'Pro Forma Cash Flow Statement'!H23</f>
        <v>923429.71196857048</v>
      </c>
      <c r="I6" s="341">
        <f ca="1">'Pro Forma Cash Flow Statement'!I23</f>
        <v>953729.32625753526</v>
      </c>
    </row>
    <row r="7" spans="2:9" x14ac:dyDescent="0.3">
      <c r="C7" s="169" t="s">
        <v>267</v>
      </c>
      <c r="D7" s="169"/>
      <c r="E7" s="343">
        <f>'Pro Forma Cash Flow Statement'!E29</f>
        <v>-138590.82016751391</v>
      </c>
      <c r="F7" s="343">
        <f>'Pro Forma Cash Flow Statement'!F29</f>
        <v>-165215.11265658741</v>
      </c>
      <c r="G7" s="343">
        <f>'Pro Forma Cash Flow Statement'!G29</f>
        <v>-188443.37628572099</v>
      </c>
      <c r="H7" s="343">
        <f>'Pro Forma Cash Flow Statement'!H29</f>
        <v>-204499.70690379501</v>
      </c>
      <c r="I7" s="343">
        <f>'Pro Forma Cash Flow Statement'!I29</f>
        <v>-209823.16384368474</v>
      </c>
    </row>
    <row r="8" spans="2:9" x14ac:dyDescent="0.3">
      <c r="C8" s="38" t="s">
        <v>268</v>
      </c>
      <c r="E8" s="323">
        <f ca="1">SUM(E6:E7)</f>
        <v>586236.20121807535</v>
      </c>
      <c r="F8" s="323">
        <f t="shared" ref="F8:I8" ca="1" si="0">SUM(F6:F7)</f>
        <v>673926.16669717245</v>
      </c>
      <c r="G8" s="323">
        <f t="shared" ca="1" si="0"/>
        <v>584166.49190390774</v>
      </c>
      <c r="H8" s="323">
        <f t="shared" ca="1" si="0"/>
        <v>718930.00506477547</v>
      </c>
      <c r="I8" s="323">
        <f t="shared" ca="1" si="0"/>
        <v>743906.16241385054</v>
      </c>
    </row>
    <row r="9" spans="2:9" x14ac:dyDescent="0.3">
      <c r="C9" s="15" t="s">
        <v>269</v>
      </c>
      <c r="E9" s="227">
        <f>E38</f>
        <v>-19105.642500000002</v>
      </c>
      <c r="F9" s="227">
        <f t="shared" ref="F9:I9" ca="1" si="1">F38</f>
        <v>-19105.642500000002</v>
      </c>
      <c r="G9" s="227">
        <f t="shared" ca="1" si="1"/>
        <v>-19105.642500000002</v>
      </c>
      <c r="H9" s="227">
        <f t="shared" ca="1" si="1"/>
        <v>-19105.642500000002</v>
      </c>
      <c r="I9" s="227">
        <f t="shared" ca="1" si="1"/>
        <v>0</v>
      </c>
    </row>
    <row r="10" spans="2:9" x14ac:dyDescent="0.3">
      <c r="C10" s="169" t="s">
        <v>270</v>
      </c>
      <c r="D10" s="169"/>
      <c r="E10" s="343">
        <f>'Pro Forma Balance Sheet'!G7</f>
        <v>1804.8500000000058</v>
      </c>
      <c r="F10" s="343">
        <f ca="1">'Pro Forma Balance Sheet'!H7</f>
        <v>42251.712399999989</v>
      </c>
      <c r="G10" s="343">
        <f ca="1">'Pro Forma Balance Sheet'!I7</f>
        <v>43413.634491000004</v>
      </c>
      <c r="H10" s="343">
        <f ca="1">'Pro Forma Balance Sheet'!J7</f>
        <v>44498.975353274989</v>
      </c>
      <c r="I10" s="343">
        <f ca="1">'Pro Forma Balance Sheet'!K7</f>
        <v>654499.46488393133</v>
      </c>
    </row>
    <row r="11" spans="2:9" x14ac:dyDescent="0.3">
      <c r="C11" s="38" t="s">
        <v>271</v>
      </c>
      <c r="E11" s="323">
        <f ca="1">SUM(E8:E10)</f>
        <v>568935.40871807537</v>
      </c>
      <c r="F11" s="323">
        <f t="shared" ref="F11:I11" ca="1" si="2">SUM(F8:F10)</f>
        <v>697072.23659717245</v>
      </c>
      <c r="G11" s="323">
        <f t="shared" ca="1" si="2"/>
        <v>608474.48389490775</v>
      </c>
      <c r="H11" s="323">
        <f t="shared" ca="1" si="2"/>
        <v>744323.33791805047</v>
      </c>
      <c r="I11" s="323">
        <f t="shared" ca="1" si="2"/>
        <v>1398405.6272977819</v>
      </c>
    </row>
    <row r="13" spans="2:9" x14ac:dyDescent="0.3">
      <c r="C13" s="15" t="s">
        <v>198</v>
      </c>
      <c r="D13" s="350">
        <v>0.01</v>
      </c>
      <c r="E13" s="341">
        <f>$D$13*'Pro Forma Income Statement'!F7</f>
        <v>42251.712400000004</v>
      </c>
      <c r="F13" s="341">
        <f>$D$13*'Pro Forma Income Statement'!G7</f>
        <v>43413.634491000012</v>
      </c>
      <c r="G13" s="341">
        <f>$D$13*'Pro Forma Income Statement'!H7</f>
        <v>44498.975353275011</v>
      </c>
      <c r="H13" s="341">
        <f>$D$13*'Pro Forma Income Statement'!I7</f>
        <v>45500.202298723692</v>
      </c>
      <c r="I13" s="341">
        <f>$D$13*'Pro Forma Income Statement'!J7</f>
        <v>46410.206344698163</v>
      </c>
    </row>
    <row r="15" spans="2:9" x14ac:dyDescent="0.3">
      <c r="C15" s="15" t="s">
        <v>298</v>
      </c>
      <c r="E15" s="323">
        <f ca="1">E11-E13</f>
        <v>526683.69631807541</v>
      </c>
      <c r="F15" s="323">
        <f t="shared" ref="F15:I15" ca="1" si="3">F11-F13</f>
        <v>653658.60210617248</v>
      </c>
      <c r="G15" s="323">
        <f t="shared" ca="1" si="3"/>
        <v>563975.50854163279</v>
      </c>
      <c r="H15" s="323">
        <f t="shared" ca="1" si="3"/>
        <v>698823.13561932673</v>
      </c>
      <c r="I15" s="323">
        <f t="shared" ca="1" si="3"/>
        <v>1351995.4209530838</v>
      </c>
    </row>
    <row r="17" spans="3:9" x14ac:dyDescent="0.3">
      <c r="C17" s="15" t="s">
        <v>127</v>
      </c>
      <c r="E17" s="349">
        <v>4.3200000000000002E-2</v>
      </c>
      <c r="F17" s="349">
        <v>3.6400000000000002E-2</v>
      </c>
      <c r="G17" s="349">
        <v>2.9899999999999999E-2</v>
      </c>
      <c r="H17" s="349">
        <v>3.0700000000000002E-2</v>
      </c>
      <c r="I17" s="349">
        <v>3.2599999999999997E-2</v>
      </c>
    </row>
    <row r="19" spans="3:9" x14ac:dyDescent="0.3">
      <c r="C19" s="277" t="s">
        <v>272</v>
      </c>
      <c r="D19" s="278"/>
      <c r="E19" s="278"/>
      <c r="F19" s="278"/>
      <c r="G19" s="278"/>
      <c r="H19" s="278"/>
      <c r="I19" s="279"/>
    </row>
    <row r="20" spans="3:9" x14ac:dyDescent="0.3">
      <c r="C20" s="49" t="s">
        <v>134</v>
      </c>
      <c r="D20" s="322">
        <f>D21*'Transaction Structure'!M10</f>
        <v>2183502</v>
      </c>
      <c r="I20" s="57"/>
    </row>
    <row r="21" spans="3:9" x14ac:dyDescent="0.3">
      <c r="C21" s="49" t="s">
        <v>273</v>
      </c>
      <c r="D21" s="346">
        <v>2</v>
      </c>
      <c r="I21" s="57"/>
    </row>
    <row r="22" spans="3:9" x14ac:dyDescent="0.3">
      <c r="C22" s="49" t="s">
        <v>132</v>
      </c>
      <c r="D22" s="347">
        <v>45930</v>
      </c>
      <c r="I22" s="57"/>
    </row>
    <row r="23" spans="3:9" x14ac:dyDescent="0.3">
      <c r="C23" s="49" t="s">
        <v>274</v>
      </c>
      <c r="D23" s="348" t="s">
        <v>294</v>
      </c>
      <c r="I23" s="57"/>
    </row>
    <row r="24" spans="3:9" x14ac:dyDescent="0.3">
      <c r="C24" s="49"/>
      <c r="I24" s="57"/>
    </row>
    <row r="25" spans="3:9" x14ac:dyDescent="0.3">
      <c r="C25" s="188"/>
      <c r="D25" s="169"/>
      <c r="E25" s="169"/>
      <c r="F25" s="169"/>
      <c r="G25" s="169"/>
      <c r="H25" s="169"/>
      <c r="I25" s="276"/>
    </row>
    <row r="26" spans="3:9" x14ac:dyDescent="0.3">
      <c r="C26" s="49" t="s">
        <v>136</v>
      </c>
      <c r="E26" s="226">
        <v>0</v>
      </c>
      <c r="F26" s="226">
        <v>0</v>
      </c>
      <c r="G26" s="226">
        <v>0</v>
      </c>
      <c r="H26" s="226">
        <v>0</v>
      </c>
      <c r="I26" s="333">
        <v>0</v>
      </c>
    </row>
    <row r="27" spans="3:9" x14ac:dyDescent="0.3">
      <c r="C27" s="274" t="s">
        <v>275</v>
      </c>
      <c r="E27" s="226">
        <f ca="1">IF(E15&gt;0,-MIN(E15,E26),-MIN(E15,0))</f>
        <v>0</v>
      </c>
      <c r="F27" s="226">
        <f t="shared" ref="F27:I27" ca="1" si="4">IF(F15&gt;0,-MIN(F15,F26),-MIN(F15,0))</f>
        <v>0</v>
      </c>
      <c r="G27" s="226">
        <f t="shared" ca="1" si="4"/>
        <v>0</v>
      </c>
      <c r="H27" s="226">
        <f t="shared" ca="1" si="4"/>
        <v>0</v>
      </c>
      <c r="I27" s="330">
        <f t="shared" ca="1" si="4"/>
        <v>0</v>
      </c>
    </row>
    <row r="28" spans="3:9" x14ac:dyDescent="0.3">
      <c r="C28" s="49" t="s">
        <v>276</v>
      </c>
      <c r="E28" s="226">
        <f ca="1">SUM(E26:E27)</f>
        <v>0</v>
      </c>
      <c r="F28" s="226">
        <f t="shared" ref="F28:I28" ca="1" si="5">SUM(F26:F27)</f>
        <v>0</v>
      </c>
      <c r="G28" s="226">
        <f t="shared" ca="1" si="5"/>
        <v>0</v>
      </c>
      <c r="H28" s="226">
        <f t="shared" ca="1" si="5"/>
        <v>0</v>
      </c>
      <c r="I28" s="330">
        <f t="shared" ca="1" si="5"/>
        <v>0</v>
      </c>
    </row>
    <row r="29" spans="3:9" x14ac:dyDescent="0.3">
      <c r="C29" s="275" t="s">
        <v>277</v>
      </c>
      <c r="D29" s="169"/>
      <c r="E29" s="321">
        <f ca="1">AVERAGE(E28,E26)*(0.015+E17)</f>
        <v>0</v>
      </c>
      <c r="F29" s="321">
        <f t="shared" ref="F29:I29" ca="1" si="6">AVERAGE(F28,F26)*(0.015+F17)</f>
        <v>0</v>
      </c>
      <c r="G29" s="321">
        <f t="shared" ca="1" si="6"/>
        <v>0</v>
      </c>
      <c r="H29" s="321">
        <f t="shared" ca="1" si="6"/>
        <v>0</v>
      </c>
      <c r="I29" s="334">
        <f t="shared" ca="1" si="6"/>
        <v>0</v>
      </c>
    </row>
    <row r="31" spans="3:9" x14ac:dyDescent="0.3">
      <c r="C31" s="277" t="s">
        <v>186</v>
      </c>
      <c r="D31" s="278"/>
      <c r="E31" s="278"/>
      <c r="F31" s="278"/>
      <c r="G31" s="278"/>
      <c r="H31" s="278"/>
      <c r="I31" s="279"/>
    </row>
    <row r="32" spans="3:9" x14ac:dyDescent="0.3">
      <c r="C32" s="49" t="s">
        <v>278</v>
      </c>
      <c r="D32" s="322">
        <f>'Transaction Structure'!F10</f>
        <v>1910564.25</v>
      </c>
      <c r="I32" s="57"/>
    </row>
    <row r="33" spans="2:9" x14ac:dyDescent="0.3">
      <c r="C33" s="49" t="s">
        <v>274</v>
      </c>
      <c r="D33" s="348" t="s">
        <v>295</v>
      </c>
      <c r="I33" s="57"/>
    </row>
    <row r="34" spans="2:9" x14ac:dyDescent="0.3">
      <c r="C34" s="49" t="s">
        <v>257</v>
      </c>
      <c r="D34" s="349">
        <v>0.01</v>
      </c>
      <c r="I34" s="57"/>
    </row>
    <row r="35" spans="2:9" x14ac:dyDescent="0.3">
      <c r="C35" s="49" t="s">
        <v>132</v>
      </c>
      <c r="D35" s="347">
        <v>49582</v>
      </c>
      <c r="I35" s="57"/>
    </row>
    <row r="36" spans="2:9" x14ac:dyDescent="0.3">
      <c r="C36" s="49"/>
      <c r="I36" s="57"/>
    </row>
    <row r="37" spans="2:9" x14ac:dyDescent="0.3">
      <c r="C37" s="48" t="s">
        <v>136</v>
      </c>
      <c r="D37" s="55"/>
      <c r="E37" s="325">
        <f>D32</f>
        <v>1910564.25</v>
      </c>
      <c r="F37" s="325">
        <f ca="1">E40</f>
        <v>1364774.9111819244</v>
      </c>
      <c r="G37" s="325">
        <f t="shared" ref="G37:I37" ca="1" si="7">F40</f>
        <v>692010.66657575185</v>
      </c>
      <c r="H37" s="325">
        <f t="shared" ca="1" si="7"/>
        <v>108929.5155341191</v>
      </c>
      <c r="I37" s="326">
        <f t="shared" ca="1" si="7"/>
        <v>0</v>
      </c>
    </row>
    <row r="38" spans="2:9" x14ac:dyDescent="0.3">
      <c r="C38" s="49" t="s">
        <v>279</v>
      </c>
      <c r="E38" s="227">
        <f>-IF(E37&gt;0,$D$32*$D$34,0)</f>
        <v>-19105.642500000002</v>
      </c>
      <c r="F38" s="227">
        <f t="shared" ref="F38:I38" ca="1" si="8">-IF(F37&gt;0,$D$32*$D$34,0)</f>
        <v>-19105.642500000002</v>
      </c>
      <c r="G38" s="227">
        <f t="shared" ca="1" si="8"/>
        <v>-19105.642500000002</v>
      </c>
      <c r="H38" s="227">
        <f t="shared" ca="1" si="8"/>
        <v>-19105.642500000002</v>
      </c>
      <c r="I38" s="227">
        <f t="shared" ca="1" si="8"/>
        <v>0</v>
      </c>
    </row>
    <row r="39" spans="2:9" x14ac:dyDescent="0.3">
      <c r="C39" s="49" t="s">
        <v>280</v>
      </c>
      <c r="E39" s="323">
        <f ca="1">-MIN(E15+E27,E37+E38)</f>
        <v>-526683.69631807541</v>
      </c>
      <c r="F39" s="323">
        <f t="shared" ref="F39:I39" ca="1" si="9">-MIN(F15+F27,F37+F38)</f>
        <v>-653658.60210617248</v>
      </c>
      <c r="G39" s="323">
        <f t="shared" ca="1" si="9"/>
        <v>-563975.50854163279</v>
      </c>
      <c r="H39" s="323">
        <f t="shared" ca="1" si="9"/>
        <v>-89823.873034119097</v>
      </c>
      <c r="I39" s="323">
        <f t="shared" ca="1" si="9"/>
        <v>0</v>
      </c>
    </row>
    <row r="40" spans="2:9" x14ac:dyDescent="0.3">
      <c r="C40" s="274" t="s">
        <v>138</v>
      </c>
      <c r="E40" s="323">
        <f ca="1">SUM(E37:E39)</f>
        <v>1364774.9111819244</v>
      </c>
      <c r="F40" s="323">
        <f t="shared" ref="F40:I40" ca="1" si="10">SUM(F37:F39)</f>
        <v>692010.66657575185</v>
      </c>
      <c r="G40" s="323">
        <f t="shared" ca="1" si="10"/>
        <v>108929.5155341191</v>
      </c>
      <c r="H40" s="323">
        <f t="shared" ca="1" si="10"/>
        <v>0</v>
      </c>
      <c r="I40" s="327">
        <f t="shared" ca="1" si="10"/>
        <v>0</v>
      </c>
    </row>
    <row r="41" spans="2:9" x14ac:dyDescent="0.3">
      <c r="C41" s="49"/>
      <c r="I41" s="57"/>
    </row>
    <row r="42" spans="2:9" x14ac:dyDescent="0.3">
      <c r="C42" s="188" t="s">
        <v>14</v>
      </c>
      <c r="D42" s="169"/>
      <c r="E42" s="328">
        <f ca="1">AVERAGE(E40,E37)*(0.0225+E17)</f>
        <v>107594.89144482624</v>
      </c>
      <c r="F42" s="328">
        <f t="shared" ref="F42:I42" ca="1" si="11">AVERAGE(F40,F37)*(0.0225+F17)</f>
        <v>60572.335264963564</v>
      </c>
      <c r="G42" s="328">
        <f t="shared" ca="1" si="11"/>
        <v>20984.632771278619</v>
      </c>
      <c r="H42" s="328">
        <f t="shared" ca="1" si="11"/>
        <v>2897.5251132075678</v>
      </c>
      <c r="I42" s="332">
        <f t="shared" ca="1" si="11"/>
        <v>0</v>
      </c>
    </row>
    <row r="44" spans="2:9" x14ac:dyDescent="0.3">
      <c r="B44" s="15" t="s">
        <v>297</v>
      </c>
      <c r="C44" s="277" t="s">
        <v>142</v>
      </c>
      <c r="D44" s="278"/>
      <c r="E44" s="278"/>
      <c r="F44" s="278"/>
      <c r="G44" s="278"/>
      <c r="H44" s="278"/>
      <c r="I44" s="279"/>
    </row>
    <row r="45" spans="2:9" x14ac:dyDescent="0.3">
      <c r="C45" s="49" t="s">
        <v>278</v>
      </c>
      <c r="D45" s="322">
        <f>'Transaction Structure'!F11</f>
        <v>1364688.75</v>
      </c>
      <c r="I45" s="57"/>
    </row>
    <row r="46" spans="2:9" x14ac:dyDescent="0.3">
      <c r="C46" s="49" t="s">
        <v>274</v>
      </c>
      <c r="D46" s="348" t="s">
        <v>296</v>
      </c>
      <c r="I46" s="57"/>
    </row>
    <row r="47" spans="2:9" x14ac:dyDescent="0.3">
      <c r="C47" s="49" t="s">
        <v>257</v>
      </c>
      <c r="D47" s="349">
        <v>0</v>
      </c>
      <c r="I47" s="57"/>
    </row>
    <row r="48" spans="2:9" x14ac:dyDescent="0.3">
      <c r="C48" s="49" t="s">
        <v>132</v>
      </c>
      <c r="D48" s="347">
        <v>49582</v>
      </c>
      <c r="I48" s="57"/>
    </row>
    <row r="49" spans="2:9" x14ac:dyDescent="0.3">
      <c r="C49" s="49"/>
      <c r="I49" s="57"/>
    </row>
    <row r="50" spans="2:9" x14ac:dyDescent="0.3">
      <c r="C50" s="48" t="s">
        <v>136</v>
      </c>
      <c r="D50" s="55"/>
      <c r="E50" s="325">
        <f>D45</f>
        <v>1364688.75</v>
      </c>
      <c r="F50" s="325">
        <f>E53</f>
        <v>1364688.75</v>
      </c>
      <c r="G50" s="325">
        <f t="shared" ref="G50:I50" si="12">F53</f>
        <v>1364688.75</v>
      </c>
      <c r="H50" s="325">
        <f t="shared" si="12"/>
        <v>1364688.75</v>
      </c>
      <c r="I50" s="326">
        <f t="shared" si="12"/>
        <v>1364688.75</v>
      </c>
    </row>
    <row r="51" spans="2:9" x14ac:dyDescent="0.3">
      <c r="C51" s="49" t="s">
        <v>279</v>
      </c>
      <c r="E51" s="226">
        <v>0</v>
      </c>
      <c r="F51" s="226">
        <v>0</v>
      </c>
      <c r="G51" s="226">
        <v>0</v>
      </c>
      <c r="H51" s="226">
        <v>0</v>
      </c>
      <c r="I51" s="330">
        <v>0</v>
      </c>
    </row>
    <row r="52" spans="2:9" x14ac:dyDescent="0.3">
      <c r="C52" s="49" t="s">
        <v>280</v>
      </c>
      <c r="I52" s="57"/>
    </row>
    <row r="53" spans="2:9" x14ac:dyDescent="0.3">
      <c r="C53" s="274" t="s">
        <v>138</v>
      </c>
      <c r="E53" s="323">
        <f>SUM(E50:E52)</f>
        <v>1364688.75</v>
      </c>
      <c r="F53" s="323">
        <f t="shared" ref="F53:I53" si="13">SUM(F50:F52)</f>
        <v>1364688.75</v>
      </c>
      <c r="G53" s="323">
        <f t="shared" si="13"/>
        <v>1364688.75</v>
      </c>
      <c r="H53" s="323">
        <f t="shared" si="13"/>
        <v>1364688.75</v>
      </c>
      <c r="I53" s="327">
        <f t="shared" si="13"/>
        <v>1364688.75</v>
      </c>
    </row>
    <row r="54" spans="2:9" x14ac:dyDescent="0.3">
      <c r="C54" s="49"/>
      <c r="I54" s="57"/>
    </row>
    <row r="55" spans="2:9" x14ac:dyDescent="0.3">
      <c r="C55" s="188" t="s">
        <v>14</v>
      </c>
      <c r="D55" s="169"/>
      <c r="E55" s="329">
        <f>AVERAGE(E53,E50)*(0.0275+E17)</f>
        <v>96483.494624999992</v>
      </c>
      <c r="F55" s="329">
        <f t="shared" ref="F55:I55" si="14">AVERAGE(F53,F50)*(0.0275+F17)</f>
        <v>87203.611124999996</v>
      </c>
      <c r="G55" s="329">
        <f t="shared" si="14"/>
        <v>78333.134250000003</v>
      </c>
      <c r="H55" s="329">
        <f t="shared" si="14"/>
        <v>79424.885250000007</v>
      </c>
      <c r="I55" s="331">
        <f t="shared" si="14"/>
        <v>82017.793875000003</v>
      </c>
    </row>
    <row r="57" spans="2:9" x14ac:dyDescent="0.3">
      <c r="B57" s="15" t="s">
        <v>297</v>
      </c>
      <c r="C57" s="277" t="s">
        <v>187</v>
      </c>
      <c r="D57" s="278"/>
      <c r="E57" s="278"/>
      <c r="F57" s="278"/>
      <c r="G57" s="278"/>
      <c r="H57" s="278"/>
      <c r="I57" s="279"/>
    </row>
    <row r="58" spans="2:9" x14ac:dyDescent="0.3">
      <c r="C58" s="49" t="s">
        <v>278</v>
      </c>
      <c r="D58" s="322">
        <f>'Transaction Structure'!F12</f>
        <v>927988.35</v>
      </c>
      <c r="I58" s="57"/>
    </row>
    <row r="59" spans="2:9" x14ac:dyDescent="0.3">
      <c r="C59" s="49" t="s">
        <v>274</v>
      </c>
      <c r="D59" s="349">
        <v>8.5000000000000006E-2</v>
      </c>
      <c r="I59" s="57"/>
    </row>
    <row r="60" spans="2:9" x14ac:dyDescent="0.3">
      <c r="C60" s="49" t="s">
        <v>281</v>
      </c>
      <c r="D60" s="347">
        <v>49582</v>
      </c>
      <c r="I60" s="57"/>
    </row>
    <row r="61" spans="2:9" x14ac:dyDescent="0.3">
      <c r="C61" s="49"/>
      <c r="I61" s="57"/>
    </row>
    <row r="62" spans="2:9" x14ac:dyDescent="0.3">
      <c r="C62" s="48" t="s">
        <v>136</v>
      </c>
      <c r="D62" s="55"/>
      <c r="E62" s="325">
        <f>D58</f>
        <v>927988.35</v>
      </c>
      <c r="F62" s="325">
        <f>E65</f>
        <v>927988.35</v>
      </c>
      <c r="G62" s="325">
        <f t="shared" ref="G62:I62" si="15">F65</f>
        <v>927988.35</v>
      </c>
      <c r="H62" s="325">
        <f t="shared" si="15"/>
        <v>927988.35</v>
      </c>
      <c r="I62" s="326">
        <f t="shared" si="15"/>
        <v>927988.35</v>
      </c>
    </row>
    <row r="63" spans="2:9" x14ac:dyDescent="0.3">
      <c r="C63" s="49" t="s">
        <v>149</v>
      </c>
      <c r="E63" s="226">
        <v>0</v>
      </c>
      <c r="F63" s="226">
        <v>0</v>
      </c>
      <c r="G63" s="226">
        <v>0</v>
      </c>
      <c r="H63" s="226">
        <v>0</v>
      </c>
      <c r="I63" s="330">
        <v>0</v>
      </c>
    </row>
    <row r="64" spans="2:9" x14ac:dyDescent="0.3">
      <c r="C64" s="49" t="s">
        <v>280</v>
      </c>
      <c r="I64" s="57"/>
    </row>
    <row r="65" spans="2:9" x14ac:dyDescent="0.3">
      <c r="C65" s="274" t="s">
        <v>138</v>
      </c>
      <c r="E65" s="323">
        <f>SUM(E62:E64)</f>
        <v>927988.35</v>
      </c>
      <c r="F65" s="323">
        <f t="shared" ref="F65:I65" si="16">SUM(F62:F64)</f>
        <v>927988.35</v>
      </c>
      <c r="G65" s="323">
        <f t="shared" si="16"/>
        <v>927988.35</v>
      </c>
      <c r="H65" s="323">
        <f t="shared" si="16"/>
        <v>927988.35</v>
      </c>
      <c r="I65" s="327">
        <f t="shared" si="16"/>
        <v>927988.35</v>
      </c>
    </row>
    <row r="66" spans="2:9" x14ac:dyDescent="0.3">
      <c r="C66" s="49"/>
      <c r="I66" s="57"/>
    </row>
    <row r="67" spans="2:9" x14ac:dyDescent="0.3">
      <c r="C67" s="188" t="s">
        <v>14</v>
      </c>
      <c r="D67" s="169"/>
      <c r="E67" s="329">
        <f>AVERAGE(E65,E62)*$D$59</f>
        <v>78879.009749999997</v>
      </c>
      <c r="F67" s="329">
        <f t="shared" ref="F67:I67" si="17">AVERAGE(F65,F62)*$D$59</f>
        <v>78879.009749999997</v>
      </c>
      <c r="G67" s="329">
        <f t="shared" si="17"/>
        <v>78879.009749999997</v>
      </c>
      <c r="H67" s="329">
        <f t="shared" si="17"/>
        <v>78879.009749999997</v>
      </c>
      <c r="I67" s="329">
        <f t="shared" si="17"/>
        <v>78879.009749999997</v>
      </c>
    </row>
    <row r="69" spans="2:9" x14ac:dyDescent="0.3">
      <c r="B69" s="15" t="s">
        <v>297</v>
      </c>
      <c r="C69" s="277" t="s">
        <v>188</v>
      </c>
      <c r="D69" s="278"/>
      <c r="E69" s="278"/>
      <c r="F69" s="278"/>
      <c r="G69" s="278"/>
      <c r="H69" s="278"/>
      <c r="I69" s="279"/>
    </row>
    <row r="70" spans="2:9" x14ac:dyDescent="0.3">
      <c r="C70" s="49" t="s">
        <v>278</v>
      </c>
      <c r="D70" s="322">
        <f>'Transaction Structure'!F13</f>
        <v>545875.5</v>
      </c>
      <c r="I70" s="57"/>
    </row>
    <row r="71" spans="2:9" x14ac:dyDescent="0.3">
      <c r="C71" s="49" t="s">
        <v>274</v>
      </c>
      <c r="D71" s="349">
        <v>9.5000000000000001E-2</v>
      </c>
      <c r="I71" s="57"/>
    </row>
    <row r="72" spans="2:9" x14ac:dyDescent="0.3">
      <c r="C72" s="49" t="s">
        <v>281</v>
      </c>
      <c r="D72" s="347">
        <v>49582</v>
      </c>
      <c r="I72" s="57"/>
    </row>
    <row r="73" spans="2:9" x14ac:dyDescent="0.3">
      <c r="C73" s="49"/>
      <c r="I73" s="57"/>
    </row>
    <row r="74" spans="2:9" x14ac:dyDescent="0.3">
      <c r="C74" s="48" t="s">
        <v>136</v>
      </c>
      <c r="D74" s="325"/>
      <c r="E74" s="325">
        <f>D70</f>
        <v>545875.5</v>
      </c>
      <c r="F74" s="325">
        <f>E77</f>
        <v>545875.5</v>
      </c>
      <c r="G74" s="325">
        <f t="shared" ref="G74:I74" si="18">F77</f>
        <v>545875.5</v>
      </c>
      <c r="H74" s="325">
        <f t="shared" si="18"/>
        <v>545875.5</v>
      </c>
      <c r="I74" s="326">
        <f t="shared" si="18"/>
        <v>545875.5</v>
      </c>
    </row>
    <row r="75" spans="2:9" x14ac:dyDescent="0.3">
      <c r="C75" s="49" t="s">
        <v>149</v>
      </c>
      <c r="E75" s="226">
        <v>0</v>
      </c>
      <c r="F75" s="226">
        <v>0</v>
      </c>
      <c r="G75" s="226">
        <v>0</v>
      </c>
      <c r="H75" s="226">
        <v>0</v>
      </c>
      <c r="I75" s="330">
        <v>0</v>
      </c>
    </row>
    <row r="76" spans="2:9" x14ac:dyDescent="0.3">
      <c r="C76" s="49" t="s">
        <v>280</v>
      </c>
      <c r="I76" s="57"/>
    </row>
    <row r="77" spans="2:9" x14ac:dyDescent="0.3">
      <c r="C77" s="274" t="s">
        <v>138</v>
      </c>
      <c r="E77" s="323">
        <f>SUM(E74:E76)</f>
        <v>545875.5</v>
      </c>
      <c r="F77" s="323">
        <f t="shared" ref="F77:I77" si="19">SUM(F74:F76)</f>
        <v>545875.5</v>
      </c>
      <c r="G77" s="323">
        <f t="shared" si="19"/>
        <v>545875.5</v>
      </c>
      <c r="H77" s="323">
        <f t="shared" si="19"/>
        <v>545875.5</v>
      </c>
      <c r="I77" s="327">
        <f t="shared" si="19"/>
        <v>545875.5</v>
      </c>
    </row>
    <row r="78" spans="2:9" x14ac:dyDescent="0.3">
      <c r="C78" s="49"/>
      <c r="I78" s="57"/>
    </row>
    <row r="79" spans="2:9" x14ac:dyDescent="0.3">
      <c r="C79" s="188" t="s">
        <v>14</v>
      </c>
      <c r="D79" s="169"/>
      <c r="E79" s="329">
        <f>AVERAGE(E77,E74)*$D$71</f>
        <v>51858.172500000001</v>
      </c>
      <c r="F79" s="329">
        <f t="shared" ref="F79:I79" si="20">AVERAGE(F77,F74)*$D$71</f>
        <v>51858.172500000001</v>
      </c>
      <c r="G79" s="329">
        <f t="shared" si="20"/>
        <v>51858.172500000001</v>
      </c>
      <c r="H79" s="329">
        <f t="shared" si="20"/>
        <v>51858.172500000001</v>
      </c>
      <c r="I79" s="329">
        <f t="shared" si="20"/>
        <v>51858.172500000001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0188C-9C21-4823-89CD-3E89A7DAE6C4}">
  <dimension ref="B1:I29"/>
  <sheetViews>
    <sheetView showGridLines="0" tabSelected="1" topLeftCell="B2" zoomScale="114" workbookViewId="0">
      <selection activeCell="L22" sqref="L22"/>
    </sheetView>
  </sheetViews>
  <sheetFormatPr defaultColWidth="8.7265625" defaultRowHeight="13" x14ac:dyDescent="0.3"/>
  <cols>
    <col min="1" max="2" width="8.7265625" style="15"/>
    <col min="3" max="3" width="20.1796875" style="15" bestFit="1" customWidth="1"/>
    <col min="4" max="4" width="13" style="15" bestFit="1" customWidth="1"/>
    <col min="5" max="5" width="14.08984375" style="15" bestFit="1" customWidth="1"/>
    <col min="6" max="9" width="14" style="15" bestFit="1" customWidth="1"/>
    <col min="10" max="16384" width="8.7265625" style="15"/>
  </cols>
  <sheetData>
    <row r="1" spans="2:9" s="232" customFormat="1" x14ac:dyDescent="0.3">
      <c r="B1" s="231" t="str">
        <f>Intro!B1</f>
        <v>Crocs Inc (CROX)</v>
      </c>
    </row>
    <row r="2" spans="2:9" s="232" customFormat="1" x14ac:dyDescent="0.3">
      <c r="B2" s="110" t="s">
        <v>182</v>
      </c>
    </row>
    <row r="3" spans="2:9" s="232" customFormat="1" ht="13.5" x14ac:dyDescent="0.35">
      <c r="B3" s="233" t="s">
        <v>4</v>
      </c>
    </row>
    <row r="5" spans="2:9" x14ac:dyDescent="0.3">
      <c r="C5" s="15" t="s">
        <v>282</v>
      </c>
      <c r="D5" s="346">
        <v>7.5</v>
      </c>
      <c r="E5" s="338"/>
      <c r="F5" s="338"/>
      <c r="G5" s="338"/>
      <c r="H5" s="338"/>
      <c r="I5" s="338"/>
    </row>
    <row r="6" spans="2:9" x14ac:dyDescent="0.3">
      <c r="C6" s="15" t="s">
        <v>283</v>
      </c>
      <c r="D6" s="345">
        <v>10</v>
      </c>
      <c r="E6" s="273">
        <v>2025</v>
      </c>
      <c r="F6" s="273">
        <v>2026</v>
      </c>
      <c r="G6" s="273">
        <v>2027</v>
      </c>
      <c r="H6" s="273">
        <v>2028</v>
      </c>
      <c r="I6" s="273">
        <v>2029</v>
      </c>
    </row>
    <row r="7" spans="2:9" x14ac:dyDescent="0.3">
      <c r="C7" s="15" t="s">
        <v>203</v>
      </c>
      <c r="D7" s="340">
        <f>'Transaction Structure'!M9</f>
        <v>11</v>
      </c>
      <c r="E7" s="224"/>
      <c r="F7" s="224"/>
      <c r="G7" s="224"/>
      <c r="H7" s="224"/>
      <c r="I7" s="224"/>
    </row>
    <row r="8" spans="2:9" x14ac:dyDescent="0.3">
      <c r="C8" s="15" t="s">
        <v>284</v>
      </c>
      <c r="D8" s="341">
        <f>'Transaction Structure'!F14</f>
        <v>7261949</v>
      </c>
    </row>
    <row r="9" spans="2:9" x14ac:dyDescent="0.3">
      <c r="C9" s="37" t="s">
        <v>285</v>
      </c>
      <c r="E9" s="341">
        <f>'Pro Forma Income Statement'!F14+'Pro Forma Cash Flow Statement'!E9</f>
        <v>1408060.3486851885</v>
      </c>
      <c r="F9" s="341">
        <f>'Pro Forma Income Statement'!G14+'Pro Forma Cash Flow Statement'!F9</f>
        <v>1324033.2325111199</v>
      </c>
      <c r="G9" s="341">
        <f>'Pro Forma Income Statement'!H14+'Pro Forma Cash Flow Statement'!G9</f>
        <v>1186447.378339712</v>
      </c>
      <c r="H9" s="341">
        <f>'Pro Forma Income Statement'!I14+'Pro Forma Cash Flow Statement'!H9</f>
        <v>1355124.9301954552</v>
      </c>
      <c r="I9" s="341">
        <f>'Pro Forma Income Statement'!J14+'Pro Forma Cash Flow Statement'!I9</f>
        <v>1388015.4814724503</v>
      </c>
    </row>
    <row r="10" spans="2:9" x14ac:dyDescent="0.3">
      <c r="C10" s="169" t="s">
        <v>286</v>
      </c>
      <c r="D10" s="169"/>
      <c r="E10" s="335">
        <f>$D$7</f>
        <v>11</v>
      </c>
      <c r="F10" s="335">
        <f t="shared" ref="F10:I10" si="0">$D$7</f>
        <v>11</v>
      </c>
      <c r="G10" s="335">
        <f t="shared" si="0"/>
        <v>11</v>
      </c>
      <c r="H10" s="335">
        <f t="shared" si="0"/>
        <v>11</v>
      </c>
      <c r="I10" s="335">
        <f t="shared" si="0"/>
        <v>11</v>
      </c>
    </row>
    <row r="11" spans="2:9" x14ac:dyDescent="0.3">
      <c r="C11" s="37" t="s">
        <v>287</v>
      </c>
      <c r="E11" s="322">
        <f>E9*E10</f>
        <v>15488663.835537072</v>
      </c>
      <c r="F11" s="322">
        <f t="shared" ref="F11:I11" si="1">F9*F10</f>
        <v>14564365.557622319</v>
      </c>
      <c r="G11" s="322">
        <f t="shared" si="1"/>
        <v>13050921.161736833</v>
      </c>
      <c r="H11" s="322">
        <f t="shared" si="1"/>
        <v>14906374.232150007</v>
      </c>
      <c r="I11" s="322">
        <f t="shared" si="1"/>
        <v>15268170.296196952</v>
      </c>
    </row>
    <row r="13" spans="2:9" x14ac:dyDescent="0.3">
      <c r="C13" s="15" t="s">
        <v>202</v>
      </c>
      <c r="E13" s="336">
        <f>E11</f>
        <v>15488663.835537072</v>
      </c>
      <c r="F13" s="336">
        <f t="shared" ref="F13:I13" si="2">F11</f>
        <v>14564365.557622319</v>
      </c>
      <c r="G13" s="336">
        <f t="shared" si="2"/>
        <v>13050921.161736833</v>
      </c>
      <c r="H13" s="336">
        <f t="shared" si="2"/>
        <v>14906374.232150007</v>
      </c>
      <c r="I13" s="336">
        <f t="shared" si="2"/>
        <v>15268170.296196952</v>
      </c>
    </row>
    <row r="14" spans="2:9" x14ac:dyDescent="0.3">
      <c r="C14" s="15" t="s">
        <v>185</v>
      </c>
      <c r="E14" s="336">
        <f>-'Pro Forma Balance Sheet'!G32</f>
        <v>0</v>
      </c>
      <c r="F14" s="336">
        <f ca="1">-'Pro Forma Balance Sheet'!H32</f>
        <v>0</v>
      </c>
      <c r="G14" s="336">
        <f ca="1">-'Pro Forma Balance Sheet'!I32</f>
        <v>0</v>
      </c>
      <c r="H14" s="336">
        <f ca="1">-'Pro Forma Balance Sheet'!J32</f>
        <v>0</v>
      </c>
      <c r="I14" s="336">
        <f ca="1">-'Pro Forma Balance Sheet'!K32</f>
        <v>0</v>
      </c>
    </row>
    <row r="15" spans="2:9" x14ac:dyDescent="0.3">
      <c r="C15" s="15" t="s">
        <v>186</v>
      </c>
      <c r="E15" s="342">
        <f>-'Pro Forma Balance Sheet'!G33</f>
        <v>-1910564.25</v>
      </c>
      <c r="F15" s="342">
        <f ca="1">-'Pro Forma Balance Sheet'!H33</f>
        <v>-1364774.9111819244</v>
      </c>
      <c r="G15" s="342">
        <f ca="1">-'Pro Forma Balance Sheet'!I33</f>
        <v>-692010.66657575185</v>
      </c>
      <c r="H15" s="342">
        <f ca="1">-'Pro Forma Balance Sheet'!J33</f>
        <v>-108929.5155341191</v>
      </c>
      <c r="I15" s="342">
        <f ca="1">-'Pro Forma Balance Sheet'!K33</f>
        <v>0</v>
      </c>
    </row>
    <row r="16" spans="2:9" x14ac:dyDescent="0.3">
      <c r="C16" s="15" t="s">
        <v>142</v>
      </c>
      <c r="E16" s="342">
        <f>-'Pro Forma Balance Sheet'!G34</f>
        <v>-1364688.75</v>
      </c>
      <c r="F16" s="342">
        <f>-'Pro Forma Balance Sheet'!H34</f>
        <v>-1364688.75</v>
      </c>
      <c r="G16" s="342">
        <f>-'Pro Forma Balance Sheet'!I34</f>
        <v>-1364688.75</v>
      </c>
      <c r="H16" s="342">
        <f>-'Pro Forma Balance Sheet'!J34</f>
        <v>-1364688.75</v>
      </c>
      <c r="I16" s="342">
        <f>-'Pro Forma Balance Sheet'!K34</f>
        <v>-1364688.75</v>
      </c>
    </row>
    <row r="17" spans="3:9" x14ac:dyDescent="0.3">
      <c r="C17" s="15" t="s">
        <v>187</v>
      </c>
      <c r="E17" s="342">
        <f>-'Pro Forma Balance Sheet'!G35</f>
        <v>-927988.35</v>
      </c>
      <c r="F17" s="342">
        <f>-'Pro Forma Balance Sheet'!H35</f>
        <v>-927988.35</v>
      </c>
      <c r="G17" s="342">
        <f>-'Pro Forma Balance Sheet'!I35</f>
        <v>-927988.35</v>
      </c>
      <c r="H17" s="342">
        <f>-'Pro Forma Balance Sheet'!J35</f>
        <v>-927988.35</v>
      </c>
      <c r="I17" s="342">
        <f>-'Pro Forma Balance Sheet'!K35</f>
        <v>-927988.35</v>
      </c>
    </row>
    <row r="18" spans="3:9" x14ac:dyDescent="0.3">
      <c r="C18" s="169" t="s">
        <v>188</v>
      </c>
      <c r="D18" s="169"/>
      <c r="E18" s="343">
        <f>-'Pro Forma Balance Sheet'!G36</f>
        <v>-545875.5</v>
      </c>
      <c r="F18" s="343">
        <f>-'Pro Forma Balance Sheet'!H36</f>
        <v>-545875.5</v>
      </c>
      <c r="G18" s="343">
        <f>-'Pro Forma Balance Sheet'!I36</f>
        <v>-545875.5</v>
      </c>
      <c r="H18" s="343">
        <f>-'Pro Forma Balance Sheet'!J36</f>
        <v>-545875.5</v>
      </c>
      <c r="I18" s="343">
        <f>-'Pro Forma Balance Sheet'!K36</f>
        <v>-545875.5</v>
      </c>
    </row>
    <row r="19" spans="3:9" x14ac:dyDescent="0.3">
      <c r="C19" s="37" t="s">
        <v>288</v>
      </c>
      <c r="E19" s="323">
        <f>SUM(E14:E18)</f>
        <v>-4749116.8499999996</v>
      </c>
      <c r="F19" s="323">
        <f t="shared" ref="F19:I19" ca="1" si="3">SUM(F14:F18)</f>
        <v>-4203327.5111819245</v>
      </c>
      <c r="G19" s="323">
        <f t="shared" ca="1" si="3"/>
        <v>-3530563.2665757518</v>
      </c>
      <c r="H19" s="323">
        <f t="shared" ca="1" si="3"/>
        <v>-2947482.1155341193</v>
      </c>
      <c r="I19" s="323">
        <f t="shared" ca="1" si="3"/>
        <v>-2838552.6</v>
      </c>
    </row>
    <row r="20" spans="3:9" x14ac:dyDescent="0.3">
      <c r="C20" s="37" t="s">
        <v>289</v>
      </c>
      <c r="E20" s="341">
        <f ca="1">'Pro Forma Balance Sheet'!H7</f>
        <v>42251.712399999989</v>
      </c>
      <c r="F20" s="341">
        <f ca="1">'Pro Forma Balance Sheet'!I7</f>
        <v>43413.634491000004</v>
      </c>
      <c r="G20" s="341">
        <f ca="1">'Pro Forma Balance Sheet'!J7</f>
        <v>44498.975353274989</v>
      </c>
      <c r="H20" s="341">
        <f ca="1">'Pro Forma Balance Sheet'!K7</f>
        <v>654499.46488393133</v>
      </c>
      <c r="I20" s="341">
        <f ca="1">'Pro Forma Balance Sheet'!L7</f>
        <v>1398405.6272977819</v>
      </c>
    </row>
    <row r="22" spans="3:9" x14ac:dyDescent="0.3">
      <c r="C22" s="55" t="s">
        <v>290</v>
      </c>
      <c r="D22" s="55"/>
      <c r="E22" s="325">
        <f ca="1">SUM(E19:E20,E13)</f>
        <v>10781798.697937071</v>
      </c>
      <c r="F22" s="325">
        <f t="shared" ref="F22:I22" ca="1" si="4">SUM(F19:F20,F13)</f>
        <v>10404451.680931395</v>
      </c>
      <c r="G22" s="325">
        <f t="shared" ca="1" si="4"/>
        <v>9564856.8705143556</v>
      </c>
      <c r="H22" s="325">
        <f t="shared" ca="1" si="4"/>
        <v>12613391.581499819</v>
      </c>
      <c r="I22" s="325">
        <f t="shared" ca="1" si="4"/>
        <v>13828023.323494734</v>
      </c>
    </row>
    <row r="23" spans="3:9" ht="13.5" thickBot="1" x14ac:dyDescent="0.35"/>
    <row r="24" spans="3:9" ht="13.5" thickBot="1" x14ac:dyDescent="0.35">
      <c r="C24" s="280" t="s">
        <v>291</v>
      </c>
      <c r="D24" s="281"/>
      <c r="E24" s="337">
        <f ca="1">E22/$D$8</f>
        <v>1.4846976614593508</v>
      </c>
      <c r="F24" s="337">
        <f t="shared" ref="F24:I24" ca="1" si="5">F22/$D$8</f>
        <v>1.4327354379563111</v>
      </c>
      <c r="G24" s="337">
        <f t="shared" ca="1" si="5"/>
        <v>1.3171198077147548</v>
      </c>
      <c r="H24" s="337">
        <f t="shared" ca="1" si="5"/>
        <v>1.7369154728985041</v>
      </c>
      <c r="I24" s="337">
        <f t="shared" ca="1" si="5"/>
        <v>1.9041752184564686</v>
      </c>
    </row>
    <row r="25" spans="3:9" ht="13.5" thickBot="1" x14ac:dyDescent="0.35"/>
    <row r="26" spans="3:9" ht="13.5" thickBot="1" x14ac:dyDescent="0.35">
      <c r="C26" s="280" t="s">
        <v>292</v>
      </c>
      <c r="D26" s="281"/>
      <c r="E26" s="339">
        <f ca="1">POWER((E22/$D$8),1/(E6-2024))-1</f>
        <v>0.48469766145935078</v>
      </c>
      <c r="F26" s="339">
        <f t="shared" ref="F26:I26" ca="1" si="6">POWER((F22/$D$8),1/(F6-2024))-1</f>
        <v>0.19696927193487768</v>
      </c>
      <c r="G26" s="339">
        <f t="shared" ca="1" si="6"/>
        <v>9.616288618464286E-2</v>
      </c>
      <c r="H26" s="339">
        <f t="shared" ca="1" si="6"/>
        <v>0.1480073563473685</v>
      </c>
      <c r="I26" s="339">
        <f t="shared" ca="1" si="6"/>
        <v>0.1374737466711069</v>
      </c>
    </row>
    <row r="28" spans="3:9" x14ac:dyDescent="0.3">
      <c r="C28" s="15" t="s">
        <v>21</v>
      </c>
      <c r="E28" s="324">
        <f>-E19/E9</f>
        <v>3.3728077453744127</v>
      </c>
      <c r="F28" s="324">
        <f t="shared" ref="F28:I28" ca="1" si="7">-F19/F9</f>
        <v>3.1746389803298407</v>
      </c>
      <c r="G28" s="324">
        <f t="shared" ca="1" si="7"/>
        <v>2.9757436621557907</v>
      </c>
      <c r="H28" s="324">
        <f t="shared" ca="1" si="7"/>
        <v>2.1750630143812586</v>
      </c>
      <c r="I28" s="324">
        <f t="shared" ca="1" si="7"/>
        <v>2.045043904689575</v>
      </c>
    </row>
    <row r="29" spans="3:9" x14ac:dyDescent="0.3">
      <c r="C29" s="15" t="s">
        <v>293</v>
      </c>
      <c r="E29" s="344">
        <f ca="1">E9/-SUM('Pro Forma Income Statement'!F17:F21)</f>
        <v>4.2054805149925576</v>
      </c>
      <c r="F29" s="344">
        <f ca="1">F9/-SUM('Pro Forma Income Statement'!G17:G21)</f>
        <v>4.7539347210547822</v>
      </c>
      <c r="G29" s="344">
        <f ca="1">G9/-SUM('Pro Forma Income Statement'!H17:H21)</f>
        <v>5.1572347480369327</v>
      </c>
      <c r="H29" s="344">
        <f ca="1">H9/-SUM('Pro Forma Income Statement'!I17:I21)</f>
        <v>6.3603094025227707</v>
      </c>
      <c r="I29" s="344">
        <f ca="1">I9/-SUM('Pro Forma Income Statement'!J17:J21)</f>
        <v>6.5240094814842271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CAB6-9C12-48A6-9B42-1297801097F2}">
  <sheetPr>
    <tabColor rgb="FF6A1510"/>
  </sheetPr>
  <dimension ref="A1"/>
  <sheetViews>
    <sheetView showGridLines="0" workbookViewId="0">
      <selection activeCell="F52" sqref="F52"/>
    </sheetView>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2A5C9-C33E-44C7-9A27-83D6F2DAA7AC}">
  <dimension ref="B1:L35"/>
  <sheetViews>
    <sheetView showGridLines="0" topLeftCell="A2" zoomScale="70" zoomScaleNormal="115" workbookViewId="0">
      <selection activeCell="F8" sqref="F8"/>
    </sheetView>
  </sheetViews>
  <sheetFormatPr defaultColWidth="9" defaultRowHeight="13" x14ac:dyDescent="0.3"/>
  <cols>
    <col min="1" max="1" width="9" style="15"/>
    <col min="2" max="2" width="32" style="15" bestFit="1" customWidth="1"/>
    <col min="3" max="5" width="10" style="15" bestFit="1" customWidth="1"/>
    <col min="6" max="6" width="14.7265625" style="15" bestFit="1" customWidth="1"/>
    <col min="7" max="10" width="14" style="15" bestFit="1" customWidth="1"/>
    <col min="11" max="16384" width="9" style="15"/>
  </cols>
  <sheetData>
    <row r="1" spans="2:10" s="1" customFormat="1" ht="15.5" x14ac:dyDescent="0.35">
      <c r="B1" s="2" t="str">
        <f>Intro!B1</f>
        <v>Crocs Inc (CROX)</v>
      </c>
    </row>
    <row r="2" spans="2:10" s="1" customFormat="1" ht="14.5" x14ac:dyDescent="0.35">
      <c r="B2" s="4" t="s">
        <v>3</v>
      </c>
    </row>
    <row r="3" spans="2:10" s="1" customFormat="1" ht="14.5" x14ac:dyDescent="0.35">
      <c r="B3" s="11" t="s">
        <v>4</v>
      </c>
    </row>
    <row r="5" spans="2:10" x14ac:dyDescent="0.3">
      <c r="C5" s="12" t="s">
        <v>5</v>
      </c>
      <c r="D5" s="12"/>
      <c r="E5" s="12"/>
      <c r="F5" s="13" t="s">
        <v>6</v>
      </c>
      <c r="G5" s="13"/>
      <c r="H5" s="13"/>
      <c r="I5" s="13"/>
      <c r="J5" s="13"/>
    </row>
    <row r="6" spans="2:10" x14ac:dyDescent="0.3">
      <c r="C6" s="14">
        <v>2022</v>
      </c>
      <c r="D6" s="14">
        <v>2023</v>
      </c>
      <c r="E6" s="14">
        <v>2024</v>
      </c>
      <c r="F6" s="14">
        <v>2025</v>
      </c>
      <c r="G6" s="14">
        <v>2026</v>
      </c>
      <c r="H6" s="14">
        <v>2027</v>
      </c>
      <c r="I6" s="14">
        <v>2028</v>
      </c>
      <c r="J6" s="14">
        <v>2029</v>
      </c>
    </row>
    <row r="7" spans="2:10" x14ac:dyDescent="0.3">
      <c r="B7" s="15" t="s">
        <v>7</v>
      </c>
      <c r="C7" s="27">
        <v>3554985</v>
      </c>
      <c r="D7" s="27">
        <v>3962347</v>
      </c>
      <c r="E7" s="27">
        <v>4102108</v>
      </c>
      <c r="F7" s="30">
        <f>E7*(1+F28)</f>
        <v>4225171.24</v>
      </c>
      <c r="G7" s="31">
        <f>F7*(1+G28)</f>
        <v>4341363.4491000008</v>
      </c>
      <c r="H7" s="31">
        <f>G7*(1+H28)</f>
        <v>4449897.5353275007</v>
      </c>
      <c r="I7" s="31">
        <f>H7*(1+I28)</f>
        <v>4550020.2298723692</v>
      </c>
      <c r="J7" s="31">
        <f>I7*(1+J28)</f>
        <v>4641020.6344698165</v>
      </c>
    </row>
    <row r="8" spans="2:10" ht="13.5" thickBot="1" x14ac:dyDescent="0.35">
      <c r="B8" s="15" t="s">
        <v>8</v>
      </c>
      <c r="C8" s="27">
        <v>1694703</v>
      </c>
      <c r="D8" s="27">
        <v>1752337</v>
      </c>
      <c r="E8" s="27">
        <v>1691850</v>
      </c>
      <c r="F8" s="30">
        <f>F7-F9</f>
        <v>1875121.4752247711</v>
      </c>
      <c r="G8" s="31">
        <f t="shared" ref="G8:J8" si="0">G7-G9</f>
        <v>1926687.3157934528</v>
      </c>
      <c r="H8" s="31">
        <f t="shared" si="0"/>
        <v>1974854.498688289</v>
      </c>
      <c r="I8" s="31">
        <f t="shared" si="0"/>
        <v>2019288.7249087752</v>
      </c>
      <c r="J8" s="31">
        <f t="shared" si="0"/>
        <v>2059674.499406951</v>
      </c>
    </row>
    <row r="9" spans="2:10" x14ac:dyDescent="0.3">
      <c r="B9" s="33" t="s">
        <v>9</v>
      </c>
      <c r="C9" s="32">
        <f>C7-C8</f>
        <v>1860282</v>
      </c>
      <c r="D9" s="32">
        <f t="shared" ref="D9:E9" si="1">D7-D8</f>
        <v>2210010</v>
      </c>
      <c r="E9" s="32">
        <f t="shared" si="1"/>
        <v>2410258</v>
      </c>
      <c r="F9" s="34">
        <f>F29*F7</f>
        <v>2350049.7647752292</v>
      </c>
      <c r="G9" s="35">
        <f>G29*G7</f>
        <v>2414676.133306548</v>
      </c>
      <c r="H9" s="35">
        <f>H29*H7</f>
        <v>2475043.0366392117</v>
      </c>
      <c r="I9" s="35">
        <f>I29*I7</f>
        <v>2530731.504963594</v>
      </c>
      <c r="J9" s="35">
        <f>J29*J7</f>
        <v>2581346.1350628654</v>
      </c>
    </row>
    <row r="10" spans="2:10" x14ac:dyDescent="0.3">
      <c r="F10" s="147"/>
    </row>
    <row r="11" spans="2:10" ht="13.5" thickBot="1" x14ac:dyDescent="0.35">
      <c r="B11" s="15" t="s">
        <v>10</v>
      </c>
      <c r="C11" s="27">
        <v>1009526</v>
      </c>
      <c r="D11" s="27">
        <v>1173227</v>
      </c>
      <c r="E11" s="27">
        <v>1388347</v>
      </c>
      <c r="F11" s="30">
        <f>F7*F30</f>
        <v>1293629.0178107074</v>
      </c>
      <c r="G11" s="31">
        <f>G7*G30</f>
        <v>1329203.8158005022</v>
      </c>
      <c r="H11" s="31">
        <f>H7*H30</f>
        <v>1362433.9111955147</v>
      </c>
      <c r="I11" s="31">
        <f>I7*I30</f>
        <v>1393088.6741974137</v>
      </c>
      <c r="J11" s="31">
        <f>J7*J30</f>
        <v>1420950.4476813618</v>
      </c>
    </row>
    <row r="12" spans="2:10" x14ac:dyDescent="0.3">
      <c r="B12" s="33" t="s">
        <v>11</v>
      </c>
      <c r="C12" s="32">
        <f>C9-C11</f>
        <v>850756</v>
      </c>
      <c r="D12" s="32">
        <f t="shared" ref="D12:E12" si="2">D9-D11</f>
        <v>1036783</v>
      </c>
      <c r="E12" s="36">
        <f t="shared" si="2"/>
        <v>1021911</v>
      </c>
      <c r="F12" s="34">
        <f>F9-F11</f>
        <v>1056420.7469645217</v>
      </c>
      <c r="G12" s="35">
        <f t="shared" ref="G12:J12" si="3">G9-G11</f>
        <v>1085472.3175060458</v>
      </c>
      <c r="H12" s="35">
        <f t="shared" si="3"/>
        <v>1112609.125443697</v>
      </c>
      <c r="I12" s="35">
        <f t="shared" si="3"/>
        <v>1137642.8307661803</v>
      </c>
      <c r="J12" s="35">
        <f t="shared" si="3"/>
        <v>1160395.6873815036</v>
      </c>
    </row>
    <row r="13" spans="2:10" x14ac:dyDescent="0.3">
      <c r="F13" s="147"/>
    </row>
    <row r="14" spans="2:10" x14ac:dyDescent="0.3">
      <c r="B14" s="15" t="s">
        <v>12</v>
      </c>
      <c r="C14" s="27">
        <v>3228</v>
      </c>
      <c r="D14" s="27">
        <v>-1240</v>
      </c>
      <c r="E14" s="27">
        <v>-6777</v>
      </c>
      <c r="F14" s="30">
        <f>F7*F33</f>
        <v>0</v>
      </c>
      <c r="G14" s="31">
        <f>G7*G33</f>
        <v>0</v>
      </c>
      <c r="H14" s="31">
        <f>H7*H33</f>
        <v>0</v>
      </c>
      <c r="I14" s="31">
        <f>I7*I33</f>
        <v>0</v>
      </c>
      <c r="J14" s="31">
        <f>J7*J33</f>
        <v>0</v>
      </c>
    </row>
    <row r="15" spans="2:10" x14ac:dyDescent="0.3">
      <c r="B15" s="15" t="s">
        <v>13</v>
      </c>
      <c r="C15" s="27">
        <v>1020</v>
      </c>
      <c r="D15" s="27">
        <v>2406</v>
      </c>
      <c r="E15" s="27">
        <v>3484</v>
      </c>
      <c r="F15" s="30">
        <f ca="1">F34*'Balance Sheet'!F8</f>
        <v>6184.7788858333906</v>
      </c>
      <c r="G15" s="31">
        <f ca="1">G34*'Balance Sheet'!G8</f>
        <v>12982.534287419167</v>
      </c>
      <c r="H15" s="31">
        <f ca="1">H34*'Balance Sheet'!H8</f>
        <v>18872.415361275347</v>
      </c>
      <c r="I15" s="31">
        <f ca="1">I34*'Balance Sheet'!I8</f>
        <v>24200.157543235062</v>
      </c>
      <c r="J15" s="219">
        <f ca="1">J34*'Balance Sheet'!J8</f>
        <v>20107.24807959385</v>
      </c>
    </row>
    <row r="16" spans="2:10" x14ac:dyDescent="0.3">
      <c r="B16" s="15" t="s">
        <v>14</v>
      </c>
      <c r="C16" s="27">
        <v>-136158</v>
      </c>
      <c r="D16" s="27">
        <v>-161351</v>
      </c>
      <c r="E16" s="27">
        <v>-109264</v>
      </c>
      <c r="F16" s="198">
        <f ca="1">-'Debt Schedule'!G101</f>
        <v>-77015.7</v>
      </c>
      <c r="G16" s="122">
        <f ca="1">-'Debt Schedule'!H101</f>
        <v>-67975.45</v>
      </c>
      <c r="H16" s="122">
        <f ca="1">-'Debt Schedule'!I101</f>
        <v>-64512.2</v>
      </c>
      <c r="I16" s="122">
        <f ca="1">-'Debt Schedule'!J101</f>
        <v>-64636.2</v>
      </c>
      <c r="J16" s="122">
        <f ca="1">-'Debt Schedule'!K101</f>
        <v>-44753.7</v>
      </c>
    </row>
    <row r="17" spans="2:12" ht="13.5" thickBot="1" x14ac:dyDescent="0.35">
      <c r="B17" s="15" t="s">
        <v>15</v>
      </c>
      <c r="C17" s="27">
        <v>-338</v>
      </c>
      <c r="D17" s="27">
        <v>-326</v>
      </c>
      <c r="E17" s="27">
        <v>1231</v>
      </c>
      <c r="F17" s="30">
        <f>F7*F32</f>
        <v>172.8621568108066</v>
      </c>
      <c r="G17" s="31">
        <f>G7*G32</f>
        <v>177.61586612310379</v>
      </c>
      <c r="H17" s="31">
        <f>H7*H32</f>
        <v>182.05626277618137</v>
      </c>
      <c r="I17" s="31">
        <f>I7*I32</f>
        <v>186.15252868864545</v>
      </c>
      <c r="J17" s="31">
        <f>J7*J32</f>
        <v>189.87557926241837</v>
      </c>
    </row>
    <row r="18" spans="2:12" x14ac:dyDescent="0.3">
      <c r="B18" s="33" t="s">
        <v>16</v>
      </c>
      <c r="C18" s="32">
        <f t="shared" ref="C18:J18" si="4">C12+SUM(C14:C17)</f>
        <v>718508</v>
      </c>
      <c r="D18" s="32">
        <f t="shared" si="4"/>
        <v>876272</v>
      </c>
      <c r="E18" s="36">
        <f t="shared" si="4"/>
        <v>910585</v>
      </c>
      <c r="F18" s="34">
        <f ca="1">F12+SUM(F14:F17)</f>
        <v>985762.68800716591</v>
      </c>
      <c r="G18" s="35">
        <f t="shared" ca="1" si="4"/>
        <v>1030657.017659588</v>
      </c>
      <c r="H18" s="35">
        <f t="shared" ca="1" si="4"/>
        <v>1067151.3970677485</v>
      </c>
      <c r="I18" s="35">
        <f t="shared" ca="1" si="4"/>
        <v>1097392.9408381041</v>
      </c>
      <c r="J18" s="35">
        <f t="shared" ca="1" si="4"/>
        <v>1135939.1110403598</v>
      </c>
    </row>
    <row r="19" spans="2:12" x14ac:dyDescent="0.3">
      <c r="F19" s="147"/>
    </row>
    <row r="20" spans="2:12" ht="13.5" thickBot="1" x14ac:dyDescent="0.35">
      <c r="B20" s="15" t="s">
        <v>17</v>
      </c>
      <c r="C20" s="27">
        <v>178349</v>
      </c>
      <c r="D20" s="27">
        <v>83706</v>
      </c>
      <c r="E20" s="27">
        <v>-39486</v>
      </c>
      <c r="F20" s="30">
        <f ca="1">-F18*F35</f>
        <v>-207010.16448150482</v>
      </c>
      <c r="G20" s="31">
        <f ca="1">-G18*G35</f>
        <v>-216437.97370851348</v>
      </c>
      <c r="H20" s="31">
        <f ca="1">-H18*H35</f>
        <v>-224101.79338422717</v>
      </c>
      <c r="I20" s="31">
        <f ca="1">-I18*I35</f>
        <v>-230452.51757600185</v>
      </c>
      <c r="J20" s="31">
        <f ca="1">-J18*J35</f>
        <v>-238547.21331847555</v>
      </c>
    </row>
    <row r="21" spans="2:12" ht="13.5" thickTop="1" x14ac:dyDescent="0.3">
      <c r="B21" s="39" t="s">
        <v>18</v>
      </c>
      <c r="C21" s="40">
        <f>C18-C20</f>
        <v>540159</v>
      </c>
      <c r="D21" s="40">
        <f t="shared" ref="D21:E21" si="5">D18-D20</f>
        <v>792566</v>
      </c>
      <c r="E21" s="41">
        <f t="shared" si="5"/>
        <v>950071</v>
      </c>
      <c r="F21" s="34">
        <f ca="1">F18+F20</f>
        <v>778752.52352566109</v>
      </c>
      <c r="G21" s="35">
        <f ca="1">G18+G20</f>
        <v>814219.04395107459</v>
      </c>
      <c r="H21" s="35">
        <f ca="1">H18+H20</f>
        <v>843049.60368352127</v>
      </c>
      <c r="I21" s="35">
        <f ca="1">I18+I20</f>
        <v>866940.4232621023</v>
      </c>
      <c r="J21" s="35">
        <f ca="1">J18+J20</f>
        <v>897391.89772188431</v>
      </c>
    </row>
    <row r="22" spans="2:12" x14ac:dyDescent="0.3">
      <c r="B22" s="15" t="s">
        <v>19</v>
      </c>
      <c r="F22" s="30">
        <f ca="1">F21-F16-F15-F20+'Statement of Cash Flows'!F10-'Income Statement'!F14</f>
        <v>1124130.1930312917</v>
      </c>
      <c r="G22" s="31">
        <f ca="1">G21-G16-G15-G20+'Statement of Cash Flows'!G10-'Income Statement'!G14</f>
        <v>1168234.0325767407</v>
      </c>
      <c r="H22" s="31">
        <f ca="1">H21-H16-H15-H20+'Statement of Cash Flows'!H10-'Income Statement'!H14</f>
        <v>1212542.5234069733</v>
      </c>
      <c r="I22" s="31">
        <f ca="1">I21-I16-I15-I20+'Statement of Cash Flows'!I10-'Income Statement'!I14</f>
        <v>1255851.4263374377</v>
      </c>
      <c r="J22" s="31">
        <f ca="1">J21-J16-J15-J20+'Statement of Cash Flows'!J10-'Income Statement'!J14</f>
        <v>1296458.7251708531</v>
      </c>
    </row>
    <row r="23" spans="2:12" x14ac:dyDescent="0.3">
      <c r="B23" s="15" t="s">
        <v>20</v>
      </c>
      <c r="C23" s="148"/>
      <c r="D23" s="148"/>
      <c r="E23" s="148"/>
      <c r="F23" s="234" t="e">
        <f ca="1">F21/('Transaction Structure'!#REF!)</f>
        <v>#REF!</v>
      </c>
      <c r="G23" s="235" t="e">
        <f ca="1">G21/('Transaction Structure'!#REF!)</f>
        <v>#REF!</v>
      </c>
      <c r="H23" s="235" t="e">
        <f ca="1">H21/('Transaction Structure'!#REF!)</f>
        <v>#REF!</v>
      </c>
      <c r="I23" s="235" t="e">
        <f ca="1">I21/('Transaction Structure'!#REF!)</f>
        <v>#REF!</v>
      </c>
      <c r="J23" s="235" t="e">
        <f ca="1">J21/('Transaction Structure'!#REF!)</f>
        <v>#REF!</v>
      </c>
    </row>
    <row r="24" spans="2:12" x14ac:dyDescent="0.3">
      <c r="B24" s="15" t="s">
        <v>21</v>
      </c>
      <c r="F24" s="223">
        <f ca="1">'Balance Sheet'!F37/'Income Statement'!F22</f>
        <v>1.0341072655163894</v>
      </c>
      <c r="G24" s="224">
        <f ca="1">'Balance Sheet'!G37/'Income Statement'!G22</f>
        <v>0.99774819727607278</v>
      </c>
      <c r="H24" s="224">
        <f ca="1">'Balance Sheet'!H37/'Income Statement'!H22</f>
        <v>0.96387184567854511</v>
      </c>
      <c r="I24" s="224">
        <f ca="1">'Balance Sheet'!I37/'Income Statement'!I22</f>
        <v>0.93312614487975898</v>
      </c>
      <c r="J24" s="224">
        <f ca="1">'Balance Sheet'!J37/'Income Statement'!J22</f>
        <v>0.26996617262448924</v>
      </c>
    </row>
    <row r="25" spans="2:12" x14ac:dyDescent="0.3">
      <c r="F25" s="147"/>
    </row>
    <row r="26" spans="2:12" x14ac:dyDescent="0.3">
      <c r="C26" s="12" t="s">
        <v>5</v>
      </c>
      <c r="D26" s="12"/>
      <c r="E26" s="12"/>
      <c r="F26" s="29" t="s">
        <v>6</v>
      </c>
      <c r="G26" s="13"/>
      <c r="H26" s="13"/>
      <c r="I26" s="13"/>
      <c r="J26" s="13"/>
    </row>
    <row r="27" spans="2:12" x14ac:dyDescent="0.3">
      <c r="B27" s="16" t="s">
        <v>22</v>
      </c>
      <c r="C27" s="14">
        <v>2022</v>
      </c>
      <c r="D27" s="14">
        <v>2023</v>
      </c>
      <c r="E27" s="14">
        <v>2024</v>
      </c>
      <c r="F27" s="14">
        <v>2025</v>
      </c>
      <c r="G27" s="14">
        <v>2026</v>
      </c>
      <c r="H27" s="14">
        <v>2027</v>
      </c>
      <c r="I27" s="14">
        <v>2028</v>
      </c>
      <c r="J27" s="14">
        <v>2029</v>
      </c>
      <c r="L27" s="17" t="s">
        <v>23</v>
      </c>
    </row>
    <row r="28" spans="2:12" x14ac:dyDescent="0.3">
      <c r="B28" s="15" t="s">
        <v>24</v>
      </c>
      <c r="C28" s="18"/>
      <c r="D28" s="19">
        <f>D7/C7-1</f>
        <v>0.11458895044564188</v>
      </c>
      <c r="E28" s="19">
        <f>E7/D7-1</f>
        <v>3.5272276759203525E-2</v>
      </c>
      <c r="F28" s="20">
        <v>0.03</v>
      </c>
      <c r="G28" s="21">
        <f t="shared" ref="G28:J28" si="6">F28+$L$28</f>
        <v>2.75E-2</v>
      </c>
      <c r="H28" s="21">
        <f t="shared" si="6"/>
        <v>2.5000000000000001E-2</v>
      </c>
      <c r="I28" s="21">
        <f t="shared" si="6"/>
        <v>2.2500000000000003E-2</v>
      </c>
      <c r="J28" s="21">
        <f t="shared" si="6"/>
        <v>2.0000000000000004E-2</v>
      </c>
      <c r="L28" s="22">
        <v>-2.5000000000000001E-3</v>
      </c>
    </row>
    <row r="29" spans="2:12" x14ac:dyDescent="0.3">
      <c r="B29" s="15" t="s">
        <v>25</v>
      </c>
      <c r="C29" s="19">
        <f>C9/C7</f>
        <v>0.52328828391680982</v>
      </c>
      <c r="D29" s="19">
        <f>D9/D7</f>
        <v>0.55775276622668335</v>
      </c>
      <c r="E29" s="19">
        <f>E9/E7</f>
        <v>0.58756571011782233</v>
      </c>
      <c r="F29" s="23">
        <f>AVERAGE($C29:$E29)</f>
        <v>0.55620225342043861</v>
      </c>
      <c r="G29" s="21">
        <f t="shared" ref="G29:J29" si="7">AVERAGE($C$29:$E$29)</f>
        <v>0.55620225342043861</v>
      </c>
      <c r="H29" s="21">
        <f t="shared" si="7"/>
        <v>0.55620225342043861</v>
      </c>
      <c r="I29" s="21">
        <f t="shared" si="7"/>
        <v>0.55620225342043861</v>
      </c>
      <c r="J29" s="21">
        <f t="shared" si="7"/>
        <v>0.55620225342043861</v>
      </c>
      <c r="L29" s="24"/>
    </row>
    <row r="30" spans="2:12" x14ac:dyDescent="0.3">
      <c r="B30" s="15" t="s">
        <v>26</v>
      </c>
      <c r="C30" s="19">
        <f>C11/C7</f>
        <v>0.283974756574219</v>
      </c>
      <c r="D30" s="19">
        <f>D11/D7</f>
        <v>0.29609395643541569</v>
      </c>
      <c r="E30" s="19">
        <f>E11/E7</f>
        <v>0.33844720811836254</v>
      </c>
      <c r="F30" s="23">
        <f>AVERAGE($C30:$E30)</f>
        <v>0.30617197370933241</v>
      </c>
      <c r="G30" s="21">
        <f t="shared" ref="G30:J31" si="8">AVERAGE($C30:$E30)</f>
        <v>0.30617197370933241</v>
      </c>
      <c r="H30" s="21">
        <f t="shared" si="8"/>
        <v>0.30617197370933241</v>
      </c>
      <c r="I30" s="21">
        <f t="shared" si="8"/>
        <v>0.30617197370933241</v>
      </c>
      <c r="J30" s="21">
        <f t="shared" si="8"/>
        <v>0.30617197370933241</v>
      </c>
      <c r="L30" s="24"/>
    </row>
    <row r="31" spans="2:12" x14ac:dyDescent="0.3">
      <c r="B31" s="15" t="s">
        <v>27</v>
      </c>
      <c r="C31" s="19">
        <f>C12/C7</f>
        <v>0.23931352734259076</v>
      </c>
      <c r="D31" s="19">
        <f>D12/D7</f>
        <v>0.26165880979126765</v>
      </c>
      <c r="E31" s="19">
        <f>E12/E7</f>
        <v>0.24911850199945978</v>
      </c>
      <c r="F31" s="23">
        <f>F12/F7</f>
        <v>0.25003027971110625</v>
      </c>
      <c r="G31" s="21">
        <f t="shared" si="8"/>
        <v>0.25003027971110603</v>
      </c>
      <c r="H31" s="21">
        <f t="shared" si="8"/>
        <v>0.25003027971110603</v>
      </c>
      <c r="I31" s="21">
        <f t="shared" si="8"/>
        <v>0.25003027971110603</v>
      </c>
      <c r="J31" s="21">
        <f t="shared" si="8"/>
        <v>0.25003027971110603</v>
      </c>
      <c r="L31" s="24"/>
    </row>
    <row r="32" spans="2:12" x14ac:dyDescent="0.3">
      <c r="B32" s="15" t="s">
        <v>28</v>
      </c>
      <c r="C32" s="19">
        <f>C17/C7</f>
        <v>-9.5077757008820007E-5</v>
      </c>
      <c r="D32" s="19">
        <f>D17/D7</f>
        <v>-8.2274470156197833E-5</v>
      </c>
      <c r="E32" s="19">
        <f>E17/E7</f>
        <v>3.0008961246266551E-4</v>
      </c>
      <c r="F32" s="23">
        <f t="shared" ref="F32:J32" si="9">AVERAGE($C$32:$E$32)</f>
        <v>4.0912461765882554E-5</v>
      </c>
      <c r="G32" s="21">
        <f t="shared" si="9"/>
        <v>4.0912461765882554E-5</v>
      </c>
      <c r="H32" s="21">
        <f t="shared" si="9"/>
        <v>4.0912461765882554E-5</v>
      </c>
      <c r="I32" s="21">
        <f t="shared" si="9"/>
        <v>4.0912461765882554E-5</v>
      </c>
      <c r="J32" s="21">
        <f t="shared" si="9"/>
        <v>4.0912461765882554E-5</v>
      </c>
      <c r="L32" s="24"/>
    </row>
    <row r="33" spans="2:12" x14ac:dyDescent="0.3">
      <c r="B33" s="15" t="s">
        <v>29</v>
      </c>
      <c r="C33" s="19">
        <f>C14/C7</f>
        <v>9.0802070894813907E-4</v>
      </c>
      <c r="D33" s="19">
        <f>D14/D7</f>
        <v>-3.1294583740394265E-4</v>
      </c>
      <c r="E33" s="19">
        <f>E14/E7</f>
        <v>-1.6520774197071359E-3</v>
      </c>
      <c r="F33" s="23">
        <v>0</v>
      </c>
      <c r="G33" s="21">
        <v>0</v>
      </c>
      <c r="H33" s="21">
        <v>0</v>
      </c>
      <c r="I33" s="21">
        <v>0</v>
      </c>
      <c r="J33" s="21">
        <v>0</v>
      </c>
      <c r="L33" s="24"/>
    </row>
    <row r="34" spans="2:12" x14ac:dyDescent="0.3">
      <c r="B34" s="15" t="s">
        <v>30</v>
      </c>
      <c r="C34" s="19">
        <f>C15/'Balance Sheet'!C8</f>
        <v>5.3227296209903407E-3</v>
      </c>
      <c r="D34" s="19">
        <f>D15/'Balance Sheet'!D8</f>
        <v>1.6116283743050439E-2</v>
      </c>
      <c r="E34" s="19">
        <f>E15/'Balance Sheet'!E8</f>
        <v>1.9303543230739396E-2</v>
      </c>
      <c r="F34" s="25">
        <f>AVERAGE($C$34:$E$34)</f>
        <v>1.3580852198260059E-2</v>
      </c>
      <c r="G34" s="21">
        <f t="shared" ref="G34:J34" si="10">AVERAGE($C$34:$E$34)</f>
        <v>1.3580852198260059E-2</v>
      </c>
      <c r="H34" s="21">
        <f t="shared" si="10"/>
        <v>1.3580852198260059E-2</v>
      </c>
      <c r="I34" s="21">
        <f t="shared" si="10"/>
        <v>1.3580852198260059E-2</v>
      </c>
      <c r="J34" s="21">
        <f t="shared" si="10"/>
        <v>1.3580852198260059E-2</v>
      </c>
      <c r="L34" s="24"/>
    </row>
    <row r="35" spans="2:12" x14ac:dyDescent="0.3">
      <c r="B35" s="15" t="s">
        <v>31</v>
      </c>
      <c r="C35" s="19">
        <f>C20/C18</f>
        <v>0.24822131416769194</v>
      </c>
      <c r="D35" s="19">
        <f t="shared" ref="D35:E35" si="11">D20/D18</f>
        <v>9.5525133748425153E-2</v>
      </c>
      <c r="E35" s="19">
        <f t="shared" si="11"/>
        <v>-4.3363332363260981E-2</v>
      </c>
      <c r="F35" s="20">
        <v>0.21</v>
      </c>
      <c r="G35" s="21">
        <f>F35</f>
        <v>0.21</v>
      </c>
      <c r="H35" s="21">
        <f t="shared" ref="H35:J35" si="12">G35</f>
        <v>0.21</v>
      </c>
      <c r="I35" s="21">
        <f t="shared" si="12"/>
        <v>0.21</v>
      </c>
      <c r="J35" s="21">
        <f t="shared" si="12"/>
        <v>0.21</v>
      </c>
      <c r="L35" s="26"/>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B307F-2ACA-468B-AA8A-F2A2442C7D75}">
  <dimension ref="B1:M80"/>
  <sheetViews>
    <sheetView showGridLines="0" zoomScale="56" workbookViewId="0">
      <selection activeCell="F50" sqref="F50"/>
    </sheetView>
  </sheetViews>
  <sheetFormatPr defaultColWidth="9" defaultRowHeight="13" x14ac:dyDescent="0.3"/>
  <cols>
    <col min="1" max="1" width="9" style="15"/>
    <col min="2" max="2" width="30.6328125" style="15" bestFit="1" customWidth="1"/>
    <col min="3" max="3" width="12.26953125" style="15" bestFit="1" customWidth="1"/>
    <col min="4" max="4" width="11.6328125" style="15" bestFit="1" customWidth="1"/>
    <col min="5" max="5" width="11.90625" style="15" bestFit="1" customWidth="1"/>
    <col min="6" max="9" width="12.26953125" style="15" bestFit="1" customWidth="1"/>
    <col min="10" max="10" width="11.90625" style="15" bestFit="1" customWidth="1"/>
    <col min="11" max="12" width="9" style="15"/>
    <col min="13" max="13" width="9.7265625" style="15" bestFit="1" customWidth="1"/>
    <col min="14" max="16384" width="9" style="15"/>
  </cols>
  <sheetData>
    <row r="1" spans="2:13" s="1" customFormat="1" ht="15.5" x14ac:dyDescent="0.35">
      <c r="B1" s="2" t="str">
        <f>Intro!B1</f>
        <v>Crocs Inc (CROX)</v>
      </c>
    </row>
    <row r="2" spans="2:13" s="1" customFormat="1" ht="14.5" x14ac:dyDescent="0.35">
      <c r="B2" s="4" t="s">
        <v>32</v>
      </c>
    </row>
    <row r="3" spans="2:13" s="1" customFormat="1" ht="14.5" x14ac:dyDescent="0.35">
      <c r="B3" s="11" t="s">
        <v>4</v>
      </c>
    </row>
    <row r="5" spans="2:13" x14ac:dyDescent="0.3">
      <c r="C5" s="12" t="s">
        <v>5</v>
      </c>
      <c r="D5" s="12"/>
      <c r="E5" s="79"/>
      <c r="F5" s="13" t="s">
        <v>6</v>
      </c>
      <c r="G5" s="13"/>
      <c r="H5" s="13"/>
      <c r="I5" s="13"/>
      <c r="J5" s="13"/>
    </row>
    <row r="6" spans="2:13" x14ac:dyDescent="0.3">
      <c r="C6" s="14">
        <v>2022</v>
      </c>
      <c r="D6" s="14">
        <v>2023</v>
      </c>
      <c r="E6" s="80">
        <v>2024</v>
      </c>
      <c r="F6" s="14">
        <v>2025</v>
      </c>
      <c r="G6" s="14">
        <v>2026</v>
      </c>
      <c r="H6" s="14">
        <v>2027</v>
      </c>
      <c r="I6" s="14">
        <v>2028</v>
      </c>
      <c r="J6" s="14">
        <v>2029</v>
      </c>
      <c r="L6" s="196"/>
    </row>
    <row r="7" spans="2:13" x14ac:dyDescent="0.3">
      <c r="B7" s="28" t="s">
        <v>33</v>
      </c>
      <c r="E7" s="57"/>
    </row>
    <row r="8" spans="2:13" x14ac:dyDescent="0.3">
      <c r="B8" s="37" t="s">
        <v>34</v>
      </c>
      <c r="C8" s="27">
        <f>191629+2</f>
        <v>191631</v>
      </c>
      <c r="D8" s="27">
        <f>149288+2</f>
        <v>149290</v>
      </c>
      <c r="E8" s="179">
        <v>180485</v>
      </c>
      <c r="F8" s="31">
        <f ca="1">'Statement of Cash Flows'!F39</f>
        <v>455404.32923832035</v>
      </c>
      <c r="G8" s="31">
        <f ca="1">'Statement of Cash Flows'!G39</f>
        <v>955944.00836513436</v>
      </c>
      <c r="H8" s="31">
        <f ca="1">'Statement of Cash Flows'!H39</f>
        <v>1389634.1029094793</v>
      </c>
      <c r="I8" s="31">
        <f ca="1">'Statement of Cash Flows'!I39</f>
        <v>1781932.1784781311</v>
      </c>
      <c r="J8" s="31">
        <f ca="1">'Statement of Cash Flows'!J39</f>
        <v>1480558.6413914389</v>
      </c>
      <c r="M8" s="31"/>
    </row>
    <row r="9" spans="2:13" x14ac:dyDescent="0.3">
      <c r="B9" s="37" t="s">
        <v>35</v>
      </c>
      <c r="C9" s="27">
        <v>295594</v>
      </c>
      <c r="D9" s="27">
        <v>305747</v>
      </c>
      <c r="E9" s="179">
        <v>257657</v>
      </c>
      <c r="F9" s="94">
        <f>F60/365.25*'Income Statement'!F7</f>
        <v>314244.48812118004</v>
      </c>
      <c r="G9" s="94">
        <f>G60/365.25*'Income Statement'!G7</f>
        <v>322886.21154451254</v>
      </c>
      <c r="H9" s="94">
        <f>H60/365.25*'Income Statement'!H7</f>
        <v>330958.3668331253</v>
      </c>
      <c r="I9" s="94">
        <f>I60/365.25*'Income Statement'!I7</f>
        <v>338404.93008687062</v>
      </c>
      <c r="J9" s="94">
        <f>J60/365.25*'Income Statement'!J7</f>
        <v>345173.02868860803</v>
      </c>
      <c r="M9" s="31"/>
    </row>
    <row r="10" spans="2:13" x14ac:dyDescent="0.3">
      <c r="B10" s="37" t="s">
        <v>36</v>
      </c>
      <c r="C10" s="27">
        <v>471551</v>
      </c>
      <c r="D10" s="27">
        <v>385054</v>
      </c>
      <c r="E10" s="179">
        <v>356254</v>
      </c>
      <c r="F10" s="94">
        <f>F61/365.25*'Income Statement'!F8</f>
        <v>442877.45689316961</v>
      </c>
      <c r="G10" s="94">
        <f>G61/365.25*'Income Statement'!G8</f>
        <v>455056.58695773187</v>
      </c>
      <c r="H10" s="94">
        <f>H61/365.25*'Income Statement'!H8</f>
        <v>466433.00163167517</v>
      </c>
      <c r="I10" s="94">
        <f>I61/365.25*'Income Statement'!I8</f>
        <v>476927.74416838778</v>
      </c>
      <c r="J10" s="94">
        <f>J61/365.25*'Income Statement'!J8</f>
        <v>486466.29905175563</v>
      </c>
      <c r="M10" s="31"/>
    </row>
    <row r="11" spans="2:13" x14ac:dyDescent="0.3">
      <c r="B11" s="37" t="s">
        <v>37</v>
      </c>
      <c r="C11" s="27">
        <v>14752</v>
      </c>
      <c r="D11" s="27">
        <v>4413</v>
      </c>
      <c r="E11" s="179">
        <v>4046</v>
      </c>
      <c r="F11" s="94">
        <f>F62</f>
        <v>4046</v>
      </c>
      <c r="G11" s="94">
        <f t="shared" ref="G11:J11" si="0">G62</f>
        <v>4046</v>
      </c>
      <c r="H11" s="94">
        <f t="shared" si="0"/>
        <v>4046</v>
      </c>
      <c r="I11" s="94">
        <f t="shared" si="0"/>
        <v>4046</v>
      </c>
      <c r="J11" s="94">
        <f t="shared" si="0"/>
        <v>4046</v>
      </c>
      <c r="M11" s="31"/>
    </row>
    <row r="12" spans="2:13" x14ac:dyDescent="0.3">
      <c r="B12" s="37" t="s">
        <v>38</v>
      </c>
      <c r="C12" s="27">
        <v>18842</v>
      </c>
      <c r="D12" s="27">
        <v>21071</v>
      </c>
      <c r="E12" s="179">
        <v>22204</v>
      </c>
      <c r="F12" s="94">
        <f>F63</f>
        <v>22204</v>
      </c>
      <c r="G12" s="94">
        <f t="shared" ref="G12:J12" si="1">G63</f>
        <v>22204</v>
      </c>
      <c r="H12" s="94">
        <f t="shared" si="1"/>
        <v>22204</v>
      </c>
      <c r="I12" s="94">
        <f t="shared" si="1"/>
        <v>22204</v>
      </c>
      <c r="J12" s="94">
        <f t="shared" si="1"/>
        <v>22204</v>
      </c>
      <c r="M12" s="31"/>
    </row>
    <row r="13" spans="2:13" ht="13.5" thickBot="1" x14ac:dyDescent="0.35">
      <c r="B13" s="37" t="s">
        <v>39</v>
      </c>
      <c r="C13" s="27">
        <v>33605</v>
      </c>
      <c r="D13" s="27">
        <v>45129</v>
      </c>
      <c r="E13" s="179">
        <v>51623</v>
      </c>
      <c r="F13" s="94">
        <f>F64*'Income Statement'!F8</f>
        <v>47562.952156629406</v>
      </c>
      <c r="G13" s="94">
        <f>G64*'Income Statement'!G8</f>
        <v>48870.933340936732</v>
      </c>
      <c r="H13" s="94">
        <f>H64*'Income Statement'!H8</f>
        <v>50092.706674460147</v>
      </c>
      <c r="I13" s="94">
        <f>I64*'Income Statement'!I8</f>
        <v>51219.792574635489</v>
      </c>
      <c r="J13" s="94">
        <f>J64*'Income Statement'!J8</f>
        <v>52244.18842612821</v>
      </c>
      <c r="M13" s="31"/>
    </row>
    <row r="14" spans="2:13" x14ac:dyDescent="0.3">
      <c r="B14" s="42" t="s">
        <v>40</v>
      </c>
      <c r="C14" s="35">
        <f>SUM(C8:C13)</f>
        <v>1025975</v>
      </c>
      <c r="D14" s="35">
        <f t="shared" ref="D14:F14" si="2">SUM(D8:D13)</f>
        <v>910704</v>
      </c>
      <c r="E14" s="180">
        <f t="shared" si="2"/>
        <v>872269</v>
      </c>
      <c r="F14" s="35">
        <f t="shared" ca="1" si="2"/>
        <v>1286339.2264092993</v>
      </c>
      <c r="G14" s="35">
        <f t="shared" ref="G14:J14" ca="1" si="3">SUM(G8:G13)</f>
        <v>1809007.7402083154</v>
      </c>
      <c r="H14" s="35">
        <f t="shared" ca="1" si="3"/>
        <v>2263368.1780487401</v>
      </c>
      <c r="I14" s="35">
        <f t="shared" ca="1" si="3"/>
        <v>2674734.6453080252</v>
      </c>
      <c r="J14" s="35">
        <f t="shared" ca="1" si="3"/>
        <v>2390692.1575579308</v>
      </c>
      <c r="M14" s="31"/>
    </row>
    <row r="15" spans="2:13" x14ac:dyDescent="0.3">
      <c r="E15" s="57"/>
      <c r="M15" s="31"/>
    </row>
    <row r="16" spans="2:13" x14ac:dyDescent="0.3">
      <c r="B16" s="37" t="s">
        <v>41</v>
      </c>
      <c r="C16" s="27">
        <v>181529</v>
      </c>
      <c r="D16" s="27">
        <v>238315</v>
      </c>
      <c r="E16" s="179">
        <v>244335</v>
      </c>
      <c r="F16" s="96">
        <f>'Asset Schedule'!F11</f>
        <v>326817.11202348792</v>
      </c>
      <c r="G16" s="96">
        <f>'Asset Schedule'!G11</f>
        <v>420802.51195309754</v>
      </c>
      <c r="H16" s="96">
        <f>'Asset Schedule'!H11</f>
        <v>520775.91631544626</v>
      </c>
      <c r="I16" s="96">
        <f>'Asset Schedule'!I11</f>
        <v>618462.00280213461</v>
      </c>
      <c r="J16" s="96">
        <f>'Asset Schedule'!J11</f>
        <v>703548.74643879896</v>
      </c>
      <c r="M16" s="31"/>
    </row>
    <row r="17" spans="2:13" x14ac:dyDescent="0.3">
      <c r="B17" s="37" t="s">
        <v>42</v>
      </c>
      <c r="C17" s="27">
        <v>1800167</v>
      </c>
      <c r="D17" s="27">
        <v>1792562</v>
      </c>
      <c r="E17" s="179">
        <v>1777080</v>
      </c>
      <c r="F17" s="96">
        <f>'Asset Schedule'!F16</f>
        <v>1765652.1242340668</v>
      </c>
      <c r="G17" s="96">
        <f>'Asset Schedule'!G16</f>
        <v>1754297.7377564725</v>
      </c>
      <c r="H17" s="96">
        <f>'Asset Schedule'!H16</f>
        <v>1743016.3679793444</v>
      </c>
      <c r="I17" s="96">
        <f>'Asset Schedule'!I16</f>
        <v>1731807.5453538822</v>
      </c>
      <c r="J17" s="96">
        <f>'Asset Schedule'!J16</f>
        <v>1720670.8033508153</v>
      </c>
      <c r="M17" s="31"/>
    </row>
    <row r="18" spans="2:13" x14ac:dyDescent="0.3">
      <c r="B18" s="37" t="s">
        <v>43</v>
      </c>
      <c r="C18" s="27">
        <v>714814</v>
      </c>
      <c r="D18" s="27">
        <v>711588</v>
      </c>
      <c r="E18" s="179">
        <v>711491</v>
      </c>
      <c r="F18" s="94">
        <f>E18</f>
        <v>711491</v>
      </c>
      <c r="G18" s="94">
        <f t="shared" ref="G18:J18" si="4">F18</f>
        <v>711491</v>
      </c>
      <c r="H18" s="94">
        <f t="shared" si="4"/>
        <v>711491</v>
      </c>
      <c r="I18" s="94">
        <f t="shared" si="4"/>
        <v>711491</v>
      </c>
      <c r="J18" s="94">
        <f t="shared" si="4"/>
        <v>711491</v>
      </c>
      <c r="M18" s="31"/>
    </row>
    <row r="19" spans="2:13" x14ac:dyDescent="0.3">
      <c r="B19" s="37" t="s">
        <v>44</v>
      </c>
      <c r="C19" s="27">
        <v>528278</v>
      </c>
      <c r="D19" s="27">
        <v>667972</v>
      </c>
      <c r="E19" s="179">
        <v>872350</v>
      </c>
      <c r="F19" s="94">
        <f>F65</f>
        <v>872350</v>
      </c>
      <c r="G19" s="94">
        <f t="shared" ref="G19:J19" si="5">G65</f>
        <v>872350</v>
      </c>
      <c r="H19" s="94">
        <f t="shared" si="5"/>
        <v>872350</v>
      </c>
      <c r="I19" s="94">
        <f t="shared" si="5"/>
        <v>872350</v>
      </c>
      <c r="J19" s="94">
        <f t="shared" si="5"/>
        <v>872350</v>
      </c>
      <c r="M19" s="31"/>
    </row>
    <row r="20" spans="2:13" x14ac:dyDescent="0.3">
      <c r="B20" s="37" t="s">
        <v>45</v>
      </c>
      <c r="C20" s="27">
        <v>3254</v>
      </c>
      <c r="D20" s="27">
        <v>3807</v>
      </c>
      <c r="E20" s="179">
        <v>3193</v>
      </c>
      <c r="F20" s="94">
        <f>'Balance Sheet'!F66</f>
        <v>3193</v>
      </c>
      <c r="G20" s="94">
        <f>'Balance Sheet'!G66</f>
        <v>3193</v>
      </c>
      <c r="H20" s="94">
        <f>'Balance Sheet'!H66</f>
        <v>3193</v>
      </c>
      <c r="I20" s="94">
        <f>'Balance Sheet'!I66</f>
        <v>3193</v>
      </c>
      <c r="J20" s="94">
        <f>'Balance Sheet'!J66</f>
        <v>3193</v>
      </c>
      <c r="M20" s="31"/>
    </row>
    <row r="21" spans="2:13" x14ac:dyDescent="0.3">
      <c r="B21" s="37" t="s">
        <v>46</v>
      </c>
      <c r="C21" s="27">
        <v>239905</v>
      </c>
      <c r="D21" s="27">
        <v>287440</v>
      </c>
      <c r="E21" s="179">
        <v>307228</v>
      </c>
      <c r="F21" s="94">
        <f>F67</f>
        <v>307228</v>
      </c>
      <c r="G21" s="94">
        <f t="shared" ref="G21:J21" si="6">G67</f>
        <v>307228</v>
      </c>
      <c r="H21" s="94">
        <f t="shared" si="6"/>
        <v>307228</v>
      </c>
      <c r="I21" s="94">
        <f t="shared" si="6"/>
        <v>307228</v>
      </c>
      <c r="J21" s="94">
        <f t="shared" si="6"/>
        <v>307228</v>
      </c>
      <c r="M21" s="31"/>
    </row>
    <row r="22" spans="2:13" ht="13.5" thickBot="1" x14ac:dyDescent="0.35">
      <c r="B22" s="37" t="s">
        <v>47</v>
      </c>
      <c r="C22" s="27">
        <v>7875</v>
      </c>
      <c r="D22" s="27">
        <v>31446</v>
      </c>
      <c r="E22" s="179">
        <v>24207</v>
      </c>
      <c r="F22" s="94">
        <f>F68*'Income Statement'!F7</f>
        <v>22608.211070563069</v>
      </c>
      <c r="G22" s="94">
        <f>G68*'Income Statement'!G7</f>
        <v>23229.936875003557</v>
      </c>
      <c r="H22" s="94">
        <f>H68*'Income Statement'!H7</f>
        <v>23810.685296878648</v>
      </c>
      <c r="I22" s="94">
        <f>I68*'Income Statement'!I7</f>
        <v>24346.425716058413</v>
      </c>
      <c r="J22" s="94">
        <f>J68*'Income Statement'!J7</f>
        <v>24833.354230379584</v>
      </c>
      <c r="M22" s="31"/>
    </row>
    <row r="23" spans="2:13" x14ac:dyDescent="0.3">
      <c r="B23" s="42" t="s">
        <v>48</v>
      </c>
      <c r="C23" s="35">
        <f t="shared" ref="C23:J23" si="7">SUM(C16:C22)</f>
        <v>3475822</v>
      </c>
      <c r="D23" s="35">
        <f t="shared" si="7"/>
        <v>3733130</v>
      </c>
      <c r="E23" s="180">
        <f t="shared" si="7"/>
        <v>3939884</v>
      </c>
      <c r="F23" s="35">
        <f t="shared" si="7"/>
        <v>4009339.4473281181</v>
      </c>
      <c r="G23" s="35">
        <f t="shared" si="7"/>
        <v>4092592.1865845732</v>
      </c>
      <c r="H23" s="35">
        <f t="shared" si="7"/>
        <v>4181864.9695916693</v>
      </c>
      <c r="I23" s="35">
        <f t="shared" si="7"/>
        <v>4268877.9738720758</v>
      </c>
      <c r="J23" s="35">
        <f t="shared" si="7"/>
        <v>4343314.9040199937</v>
      </c>
      <c r="M23" s="31"/>
    </row>
    <row r="24" spans="2:13" ht="13.5" thickBot="1" x14ac:dyDescent="0.35">
      <c r="B24" s="37"/>
      <c r="E24" s="57"/>
      <c r="M24" s="31"/>
    </row>
    <row r="25" spans="2:13" x14ac:dyDescent="0.3">
      <c r="B25" s="42" t="s">
        <v>49</v>
      </c>
      <c r="C25" s="35">
        <f t="shared" ref="C25:J25" si="8">SUM(C16:C22,C14)</f>
        <v>4501797</v>
      </c>
      <c r="D25" s="35">
        <f t="shared" si="8"/>
        <v>4643834</v>
      </c>
      <c r="E25" s="180">
        <f t="shared" si="8"/>
        <v>4812153</v>
      </c>
      <c r="F25" s="35">
        <f t="shared" ca="1" si="8"/>
        <v>5295678.6737374179</v>
      </c>
      <c r="G25" s="35">
        <f t="shared" ca="1" si="8"/>
        <v>5901599.9267928889</v>
      </c>
      <c r="H25" s="35">
        <f t="shared" ca="1" si="8"/>
        <v>6445233.1476404089</v>
      </c>
      <c r="I25" s="35">
        <f t="shared" ca="1" si="8"/>
        <v>6943612.619180101</v>
      </c>
      <c r="J25" s="35">
        <f t="shared" ca="1" si="8"/>
        <v>6734007.0615779245</v>
      </c>
      <c r="M25" s="31"/>
    </row>
    <row r="26" spans="2:13" x14ac:dyDescent="0.3">
      <c r="E26" s="57"/>
      <c r="M26" s="31"/>
    </row>
    <row r="27" spans="2:13" x14ac:dyDescent="0.3">
      <c r="B27" s="42" t="s">
        <v>50</v>
      </c>
      <c r="E27" s="57"/>
      <c r="M27" s="31"/>
    </row>
    <row r="28" spans="2:13" x14ac:dyDescent="0.3">
      <c r="B28" s="37" t="s">
        <v>51</v>
      </c>
      <c r="C28" s="27">
        <v>230821</v>
      </c>
      <c r="D28" s="27">
        <v>260978</v>
      </c>
      <c r="E28" s="179">
        <v>264901</v>
      </c>
      <c r="F28" s="94">
        <f>F71/365.25*'Income Statement'!F8</f>
        <v>276085.13577373687</v>
      </c>
      <c r="G28" s="94">
        <f>G71/365.25*'Income Statement'!G8</f>
        <v>283677.47700751474</v>
      </c>
      <c r="H28" s="94">
        <f>H71/365.25*'Income Statement'!H8</f>
        <v>290769.41393270256</v>
      </c>
      <c r="I28" s="94">
        <f>I71/365.25*'Income Statement'!I8</f>
        <v>297311.72574618831</v>
      </c>
      <c r="J28" s="94">
        <f>J71/365.25*'Income Statement'!J8</f>
        <v>303257.96026111214</v>
      </c>
      <c r="M28" s="31"/>
    </row>
    <row r="29" spans="2:13" x14ac:dyDescent="0.3">
      <c r="B29" s="37" t="s">
        <v>52</v>
      </c>
      <c r="C29" s="27">
        <v>239424</v>
      </c>
      <c r="D29" s="27">
        <v>285771</v>
      </c>
      <c r="E29" s="179">
        <v>298068</v>
      </c>
      <c r="F29" s="94">
        <f>F72*'Income Statement'!F8</f>
        <v>300354.78536047909</v>
      </c>
      <c r="G29" s="94">
        <f>G72*'Income Statement'!G8</f>
        <v>308614.5419578923</v>
      </c>
      <c r="H29" s="94">
        <f>H72*'Income Statement'!H8</f>
        <v>316329.90550683963</v>
      </c>
      <c r="I29" s="94">
        <f>I72*'Income Statement'!I8</f>
        <v>323447.32838074345</v>
      </c>
      <c r="J29" s="94">
        <f>J72*'Income Statement'!J8</f>
        <v>329916.27494835836</v>
      </c>
      <c r="M29" s="31"/>
    </row>
    <row r="30" spans="2:13" x14ac:dyDescent="0.3">
      <c r="B30" s="37" t="s">
        <v>53</v>
      </c>
      <c r="C30" s="27">
        <v>89211</v>
      </c>
      <c r="D30" s="27">
        <v>65952</v>
      </c>
      <c r="E30" s="179">
        <v>108688</v>
      </c>
      <c r="F30" s="94">
        <f>F73*'Income Statement'!F7</f>
        <v>96101.44499066376</v>
      </c>
      <c r="G30" s="94">
        <f>G73*'Income Statement'!G7</f>
        <v>98744.234727907024</v>
      </c>
      <c r="H30" s="94">
        <f>H73*'Income Statement'!H7</f>
        <v>101212.8405961047</v>
      </c>
      <c r="I30" s="94">
        <f>I73*'Income Statement'!I7</f>
        <v>103490.12950951705</v>
      </c>
      <c r="J30" s="94">
        <f>J73*'Income Statement'!J7</f>
        <v>105559.9320997074</v>
      </c>
      <c r="M30" s="31"/>
    </row>
    <row r="31" spans="2:13" x14ac:dyDescent="0.3">
      <c r="B31" s="37" t="s">
        <v>54</v>
      </c>
      <c r="C31" s="27">
        <v>24362</v>
      </c>
      <c r="D31" s="27">
        <v>23328</v>
      </c>
      <c r="E31" s="179">
        <v>0</v>
      </c>
      <c r="F31" s="94">
        <f>E31</f>
        <v>0</v>
      </c>
      <c r="G31" s="94">
        <f t="shared" ref="G31:J31" si="9">F31</f>
        <v>0</v>
      </c>
      <c r="H31" s="94">
        <f t="shared" si="9"/>
        <v>0</v>
      </c>
      <c r="I31" s="94">
        <f t="shared" si="9"/>
        <v>0</v>
      </c>
      <c r="J31" s="94">
        <f t="shared" si="9"/>
        <v>0</v>
      </c>
      <c r="M31" s="31"/>
    </row>
    <row r="32" spans="2:13" ht="13.5" thickBot="1" x14ac:dyDescent="0.35">
      <c r="B32" s="37" t="s">
        <v>55</v>
      </c>
      <c r="C32" s="27">
        <v>57456</v>
      </c>
      <c r="D32" s="27">
        <v>62267</v>
      </c>
      <c r="E32" s="179">
        <v>68551</v>
      </c>
      <c r="F32" s="94">
        <f>F74</f>
        <v>68551</v>
      </c>
      <c r="G32" s="94">
        <f t="shared" ref="G32:J32" si="10">G74</f>
        <v>68551</v>
      </c>
      <c r="H32" s="94">
        <f t="shared" si="10"/>
        <v>68551</v>
      </c>
      <c r="I32" s="94">
        <f t="shared" si="10"/>
        <v>68551</v>
      </c>
      <c r="J32" s="94">
        <f t="shared" si="10"/>
        <v>68551</v>
      </c>
      <c r="M32" s="31"/>
    </row>
    <row r="33" spans="2:13" x14ac:dyDescent="0.3">
      <c r="B33" s="42" t="s">
        <v>56</v>
      </c>
      <c r="C33" s="35">
        <f>SUM(C28:C32)</f>
        <v>641274</v>
      </c>
      <c r="D33" s="35">
        <f>SUM(D28:D32)</f>
        <v>698296</v>
      </c>
      <c r="E33" s="180">
        <f>SUM(E28:E32)</f>
        <v>740208</v>
      </c>
      <c r="F33" s="35">
        <f>SUM(F28:F32)</f>
        <v>741092.3661248798</v>
      </c>
      <c r="G33" s="35">
        <f t="shared" ref="G33:J33" si="11">SUM(G28:G32)</f>
        <v>759587.25369331404</v>
      </c>
      <c r="H33" s="35">
        <f t="shared" si="11"/>
        <v>776863.16003564699</v>
      </c>
      <c r="I33" s="35">
        <f t="shared" si="11"/>
        <v>792800.18363644881</v>
      </c>
      <c r="J33" s="35">
        <f t="shared" si="11"/>
        <v>807285.16730917792</v>
      </c>
      <c r="M33" s="31"/>
    </row>
    <row r="34" spans="2:13" x14ac:dyDescent="0.3">
      <c r="E34" s="57"/>
      <c r="M34" s="31"/>
    </row>
    <row r="35" spans="2:13" x14ac:dyDescent="0.3">
      <c r="B35" s="37" t="s">
        <v>57</v>
      </c>
      <c r="C35" s="27">
        <v>302030</v>
      </c>
      <c r="D35" s="27">
        <v>12912</v>
      </c>
      <c r="E35" s="179">
        <v>4086</v>
      </c>
      <c r="F35" s="94">
        <f>F75</f>
        <v>4086</v>
      </c>
      <c r="G35" s="94">
        <f t="shared" ref="G35:J35" si="12">G75</f>
        <v>4086</v>
      </c>
      <c r="H35" s="94">
        <f t="shared" si="12"/>
        <v>4086</v>
      </c>
      <c r="I35" s="94">
        <f t="shared" si="12"/>
        <v>4086</v>
      </c>
      <c r="J35" s="94">
        <f t="shared" si="12"/>
        <v>4086</v>
      </c>
      <c r="M35" s="31"/>
    </row>
    <row r="36" spans="2:13" x14ac:dyDescent="0.3">
      <c r="B36" s="37" t="s">
        <v>58</v>
      </c>
      <c r="C36" s="27">
        <v>224837</v>
      </c>
      <c r="D36" s="27">
        <v>565171</v>
      </c>
      <c r="E36" s="179">
        <v>595434</v>
      </c>
      <c r="F36" s="94">
        <f>F76</f>
        <v>595434</v>
      </c>
      <c r="G36" s="94">
        <f t="shared" ref="G36:J36" si="13">G76</f>
        <v>595434</v>
      </c>
      <c r="H36" s="94">
        <f t="shared" si="13"/>
        <v>595434</v>
      </c>
      <c r="I36" s="94">
        <f t="shared" si="13"/>
        <v>595434</v>
      </c>
      <c r="J36" s="94">
        <f t="shared" si="13"/>
        <v>595434</v>
      </c>
      <c r="M36" s="31"/>
    </row>
    <row r="37" spans="2:13" x14ac:dyDescent="0.3">
      <c r="B37" s="37" t="s">
        <v>59</v>
      </c>
      <c r="C37" s="27">
        <v>2298027</v>
      </c>
      <c r="D37" s="27">
        <v>1640996</v>
      </c>
      <c r="E37" s="179">
        <v>1349339</v>
      </c>
      <c r="F37" s="96">
        <f ca="1">E37+'Debt Schedule'!G99</f>
        <v>1162471.2</v>
      </c>
      <c r="G37" s="96">
        <f ca="1">F37+'Debt Schedule'!H99</f>
        <v>1165603.3999999999</v>
      </c>
      <c r="H37" s="96">
        <f ca="1">G37+'Debt Schedule'!I99</f>
        <v>1168735.5999999999</v>
      </c>
      <c r="I37" s="96">
        <f ca="1">H37+'Debt Schedule'!J99</f>
        <v>1171867.7999999998</v>
      </c>
      <c r="J37" s="96">
        <f ca="1">I37+'Debt Schedule'!K99</f>
        <v>349999.99999999977</v>
      </c>
      <c r="M37" s="31"/>
    </row>
    <row r="38" spans="2:13" x14ac:dyDescent="0.3">
      <c r="B38" s="37" t="s">
        <v>60</v>
      </c>
      <c r="C38" s="27">
        <v>215119</v>
      </c>
      <c r="D38" s="27">
        <v>269769</v>
      </c>
      <c r="E38" s="179">
        <v>283406</v>
      </c>
      <c r="F38" s="94">
        <f>F77</f>
        <v>283406</v>
      </c>
      <c r="G38" s="94">
        <f t="shared" ref="G38:J38" si="14">G77</f>
        <v>283406</v>
      </c>
      <c r="H38" s="94">
        <f t="shared" si="14"/>
        <v>283406</v>
      </c>
      <c r="I38" s="94">
        <f t="shared" si="14"/>
        <v>283406</v>
      </c>
      <c r="J38" s="94">
        <f t="shared" si="14"/>
        <v>283406</v>
      </c>
      <c r="M38" s="31"/>
    </row>
    <row r="39" spans="2:13" ht="13.5" thickBot="1" x14ac:dyDescent="0.35">
      <c r="B39" s="37" t="s">
        <v>61</v>
      </c>
      <c r="C39" s="27">
        <v>2579</v>
      </c>
      <c r="D39" s="27">
        <v>2767</v>
      </c>
      <c r="E39" s="179">
        <v>3948</v>
      </c>
      <c r="F39" s="94">
        <f>F78*'Income Statement'!F8</f>
        <v>3396.7043925240669</v>
      </c>
      <c r="G39" s="94">
        <f>G78*'Income Statement'!G8</f>
        <v>3490.1137633184799</v>
      </c>
      <c r="H39" s="94">
        <f>H78*'Income Statement'!H8</f>
        <v>3577.3666074014413</v>
      </c>
      <c r="I39" s="94">
        <f>I78*'Income Statement'!I8</f>
        <v>3657.8573560679733</v>
      </c>
      <c r="J39" s="94">
        <f>J78*'Income Statement'!J8</f>
        <v>3731.0145031893335</v>
      </c>
      <c r="M39" s="31"/>
    </row>
    <row r="40" spans="2:13" x14ac:dyDescent="0.3">
      <c r="B40" s="42" t="s">
        <v>62</v>
      </c>
      <c r="C40" s="35">
        <f>SUM(C35:C39)</f>
        <v>3042592</v>
      </c>
      <c r="D40" s="35">
        <f t="shared" ref="D40:F40" si="15">SUM(D35:D39)</f>
        <v>2491615</v>
      </c>
      <c r="E40" s="180">
        <f t="shared" si="15"/>
        <v>2236213</v>
      </c>
      <c r="F40" s="35">
        <f t="shared" ca="1" si="15"/>
        <v>2048793.9043925239</v>
      </c>
      <c r="G40" s="35">
        <f t="shared" ref="G40:J40" ca="1" si="16">SUM(G35:G39)</f>
        <v>2052019.5137633183</v>
      </c>
      <c r="H40" s="35">
        <f t="shared" ca="1" si="16"/>
        <v>2055238.9666074014</v>
      </c>
      <c r="I40" s="35">
        <f t="shared" ca="1" si="16"/>
        <v>2058451.6573560678</v>
      </c>
      <c r="J40" s="35">
        <f t="shared" ca="1" si="16"/>
        <v>1236657.0145031891</v>
      </c>
      <c r="M40" s="31"/>
    </row>
    <row r="41" spans="2:13" ht="13.5" thickBot="1" x14ac:dyDescent="0.35">
      <c r="B41" s="37"/>
      <c r="E41" s="57"/>
      <c r="M41" s="31"/>
    </row>
    <row r="42" spans="2:13" x14ac:dyDescent="0.3">
      <c r="B42" s="42" t="s">
        <v>63</v>
      </c>
      <c r="C42" s="35">
        <f>SUM(C35:C39,C33)</f>
        <v>3683866</v>
      </c>
      <c r="D42" s="35">
        <f>SUM(D35:D39,D33)</f>
        <v>3189911</v>
      </c>
      <c r="E42" s="180">
        <f>SUM(E35:E39,E33)</f>
        <v>2976421</v>
      </c>
      <c r="F42" s="35">
        <f ca="1">SUM(F35:F39,F33)</f>
        <v>2789886.2705174037</v>
      </c>
      <c r="G42" s="35">
        <f t="shared" ref="G42:J42" ca="1" si="17">SUM(G35:G39,G33)</f>
        <v>2811606.7674566321</v>
      </c>
      <c r="H42" s="35">
        <f t="shared" ca="1" si="17"/>
        <v>2832102.1266430486</v>
      </c>
      <c r="I42" s="35">
        <f t="shared" ca="1" si="17"/>
        <v>2851251.8409925168</v>
      </c>
      <c r="J42" s="35">
        <f t="shared" ca="1" si="17"/>
        <v>2043942.1818123669</v>
      </c>
      <c r="M42" s="31"/>
    </row>
    <row r="43" spans="2:13" x14ac:dyDescent="0.3">
      <c r="E43" s="57"/>
      <c r="M43" s="31"/>
    </row>
    <row r="44" spans="2:13" x14ac:dyDescent="0.3">
      <c r="B44" s="42" t="s">
        <v>64</v>
      </c>
      <c r="E44" s="57"/>
      <c r="M44" s="31"/>
    </row>
    <row r="45" spans="2:13" x14ac:dyDescent="0.3">
      <c r="B45" s="37" t="s">
        <v>65</v>
      </c>
      <c r="C45" s="27">
        <v>110</v>
      </c>
      <c r="D45" s="27">
        <v>110</v>
      </c>
      <c r="E45" s="179">
        <v>110</v>
      </c>
      <c r="F45" s="94">
        <f>E45</f>
        <v>110</v>
      </c>
      <c r="G45" s="94">
        <f t="shared" ref="G45:J45" si="18">F45</f>
        <v>110</v>
      </c>
      <c r="H45" s="94">
        <f t="shared" si="18"/>
        <v>110</v>
      </c>
      <c r="I45" s="94">
        <f t="shared" si="18"/>
        <v>110</v>
      </c>
      <c r="J45" s="94">
        <f t="shared" si="18"/>
        <v>110</v>
      </c>
      <c r="M45" s="31"/>
    </row>
    <row r="46" spans="2:13" x14ac:dyDescent="0.3">
      <c r="B46" s="37" t="s">
        <v>66</v>
      </c>
      <c r="C46" s="27">
        <v>-1695501</v>
      </c>
      <c r="D46" s="27">
        <v>-1888869</v>
      </c>
      <c r="E46" s="179">
        <v>-2453473</v>
      </c>
      <c r="F46" s="94">
        <f ca="1">E46+'Debt Schedule'!G107</f>
        <v>-2562165.1203056476</v>
      </c>
      <c r="G46" s="94">
        <f ca="1">F46+'Debt Schedule'!H107</f>
        <v>-2792183.4081404791</v>
      </c>
      <c r="H46" s="94">
        <f ca="1">G46+'Debt Schedule'!I107</f>
        <v>-3112095.1501628961</v>
      </c>
      <c r="I46" s="94">
        <f ca="1">H46+'Debt Schedule'!J107</f>
        <v>-3499805.8162347758</v>
      </c>
      <c r="J46" s="94">
        <f ca="1">I46+'Debt Schedule'!K107</f>
        <v>-3799493.6123786857</v>
      </c>
      <c r="M46" s="31"/>
    </row>
    <row r="47" spans="2:13" x14ac:dyDescent="0.3">
      <c r="B47" s="37" t="s">
        <v>67</v>
      </c>
      <c r="C47" s="27">
        <v>797614</v>
      </c>
      <c r="D47" s="27">
        <v>826685</v>
      </c>
      <c r="E47" s="179">
        <v>859904</v>
      </c>
      <c r="F47" s="94">
        <f>E47</f>
        <v>859904</v>
      </c>
      <c r="G47" s="94">
        <f t="shared" ref="G47:J47" si="19">F47</f>
        <v>859904</v>
      </c>
      <c r="H47" s="94">
        <f t="shared" si="19"/>
        <v>859904</v>
      </c>
      <c r="I47" s="94">
        <f t="shared" si="19"/>
        <v>859904</v>
      </c>
      <c r="J47" s="94">
        <f t="shared" si="19"/>
        <v>859904</v>
      </c>
      <c r="M47" s="31"/>
    </row>
    <row r="48" spans="2:13" x14ac:dyDescent="0.3">
      <c r="B48" s="37" t="s">
        <v>68</v>
      </c>
      <c r="C48" s="27">
        <v>1819199</v>
      </c>
      <c r="D48" s="27">
        <v>2611765</v>
      </c>
      <c r="E48" s="179">
        <v>3561836</v>
      </c>
      <c r="F48" s="94">
        <f ca="1">E48+'Income Statement'!F21</f>
        <v>4340588.5235256609</v>
      </c>
      <c r="G48" s="94">
        <f ca="1">F48+'Income Statement'!G21</f>
        <v>5154807.5674767355</v>
      </c>
      <c r="H48" s="94">
        <f ca="1">G48+'Income Statement'!H21</f>
        <v>5997857.1711602565</v>
      </c>
      <c r="I48" s="94">
        <f ca="1">H48+'Income Statement'!I21</f>
        <v>6864797.594422359</v>
      </c>
      <c r="J48" s="94">
        <f ca="1">I48+'Income Statement'!J21</f>
        <v>7762189.4921442438</v>
      </c>
      <c r="M48" s="31"/>
    </row>
    <row r="49" spans="2:13" ht="13.5" thickBot="1" x14ac:dyDescent="0.35">
      <c r="B49" s="37" t="s">
        <v>69</v>
      </c>
      <c r="C49" s="27">
        <v>-103491</v>
      </c>
      <c r="D49" s="27">
        <v>-95768</v>
      </c>
      <c r="E49" s="179">
        <v>-132645</v>
      </c>
      <c r="F49" s="94">
        <f>E49</f>
        <v>-132645</v>
      </c>
      <c r="G49" s="94">
        <f t="shared" ref="G49:J49" si="20">F49</f>
        <v>-132645</v>
      </c>
      <c r="H49" s="94">
        <f t="shared" si="20"/>
        <v>-132645</v>
      </c>
      <c r="I49" s="94">
        <f t="shared" si="20"/>
        <v>-132645</v>
      </c>
      <c r="J49" s="94">
        <f t="shared" si="20"/>
        <v>-132645</v>
      </c>
      <c r="M49" s="31"/>
    </row>
    <row r="50" spans="2:13" x14ac:dyDescent="0.3">
      <c r="B50" s="42" t="s">
        <v>70</v>
      </c>
      <c r="C50" s="35">
        <f>SUM(C45:C49)</f>
        <v>817931</v>
      </c>
      <c r="D50" s="35">
        <f>SUM(D45:D49)</f>
        <v>1453923</v>
      </c>
      <c r="E50" s="180">
        <f>SUM(E45:E49)</f>
        <v>1835732</v>
      </c>
      <c r="F50" s="35">
        <f ca="1">SUM(F45:F49)</f>
        <v>2505792.4032200132</v>
      </c>
      <c r="G50" s="35">
        <f t="shared" ref="G50:J50" ca="1" si="21">SUM(G45:G49)</f>
        <v>3089993.1593362563</v>
      </c>
      <c r="H50" s="35">
        <f t="shared" ca="1" si="21"/>
        <v>3613131.0209973603</v>
      </c>
      <c r="I50" s="35">
        <f t="shared" ca="1" si="21"/>
        <v>4092360.7781875832</v>
      </c>
      <c r="J50" s="35">
        <f t="shared" ca="1" si="21"/>
        <v>4690064.8797655581</v>
      </c>
      <c r="M50" s="31"/>
    </row>
    <row r="51" spans="2:13" ht="13.5" thickBot="1" x14ac:dyDescent="0.35">
      <c r="E51" s="57"/>
      <c r="M51" s="31"/>
    </row>
    <row r="52" spans="2:13" x14ac:dyDescent="0.3">
      <c r="B52" s="42" t="s">
        <v>71</v>
      </c>
      <c r="C52" s="35">
        <f>SUM(C50,C42)</f>
        <v>4501797</v>
      </c>
      <c r="D52" s="35">
        <f>SUM(D50,D42)</f>
        <v>4643834</v>
      </c>
      <c r="E52" s="180">
        <f>SUM(E50,E42)</f>
        <v>4812153</v>
      </c>
      <c r="F52" s="35">
        <f ca="1">SUM(F50,F42)</f>
        <v>5295678.673737417</v>
      </c>
      <c r="G52" s="35">
        <f t="shared" ref="G52:J52" ca="1" si="22">SUM(G50,G42)</f>
        <v>5901599.926792888</v>
      </c>
      <c r="H52" s="35">
        <f t="shared" ca="1" si="22"/>
        <v>6445233.1476404089</v>
      </c>
      <c r="I52" s="35">
        <f t="shared" ca="1" si="22"/>
        <v>6943612.6191801</v>
      </c>
      <c r="J52" s="35">
        <f t="shared" ca="1" si="22"/>
        <v>6734007.0615779255</v>
      </c>
      <c r="M52" s="31"/>
    </row>
    <row r="53" spans="2:13" x14ac:dyDescent="0.3">
      <c r="E53" s="57"/>
    </row>
    <row r="54" spans="2:13" ht="13.5" x14ac:dyDescent="0.35">
      <c r="B54" s="149" t="s">
        <v>72</v>
      </c>
      <c r="C54" s="150">
        <f>C25-C52</f>
        <v>0</v>
      </c>
      <c r="D54" s="150">
        <f t="shared" ref="D54:F54" si="23">D25-D52</f>
        <v>0</v>
      </c>
      <c r="E54" s="181">
        <f t="shared" si="23"/>
        <v>0</v>
      </c>
      <c r="F54" s="150">
        <f t="shared" ca="1" si="23"/>
        <v>0</v>
      </c>
      <c r="G54" s="150">
        <f t="shared" ref="G54:H54" ca="1" si="24">G25-G52</f>
        <v>0</v>
      </c>
      <c r="H54" s="150">
        <f t="shared" ca="1" si="24"/>
        <v>0</v>
      </c>
      <c r="I54" s="150">
        <f ca="1">I25-I52</f>
        <v>0</v>
      </c>
      <c r="J54" s="150">
        <f ca="1">J25-J52</f>
        <v>0</v>
      </c>
    </row>
    <row r="55" spans="2:13" x14ac:dyDescent="0.3">
      <c r="B55" s="38"/>
      <c r="E55" s="57"/>
    </row>
    <row r="56" spans="2:13" x14ac:dyDescent="0.3">
      <c r="E56" s="57"/>
    </row>
    <row r="57" spans="2:13" x14ac:dyDescent="0.3">
      <c r="C57" s="12" t="s">
        <v>5</v>
      </c>
      <c r="D57" s="12"/>
      <c r="E57" s="79"/>
      <c r="F57" s="13" t="s">
        <v>6</v>
      </c>
      <c r="G57" s="13"/>
      <c r="H57" s="13"/>
      <c r="I57" s="13"/>
      <c r="J57" s="13"/>
    </row>
    <row r="58" spans="2:13" x14ac:dyDescent="0.3">
      <c r="B58" s="16" t="s">
        <v>73</v>
      </c>
      <c r="C58" s="14">
        <v>2022</v>
      </c>
      <c r="D58" s="14">
        <v>2023</v>
      </c>
      <c r="E58" s="80">
        <v>2024</v>
      </c>
      <c r="F58" s="14">
        <v>2025</v>
      </c>
      <c r="G58" s="14">
        <v>2026</v>
      </c>
      <c r="H58" s="14">
        <v>2027</v>
      </c>
      <c r="I58" s="14">
        <v>2028</v>
      </c>
      <c r="J58" s="14">
        <v>2029</v>
      </c>
      <c r="M58" s="31"/>
    </row>
    <row r="59" spans="2:13" x14ac:dyDescent="0.3">
      <c r="B59" s="28" t="s">
        <v>33</v>
      </c>
      <c r="E59" s="57"/>
    </row>
    <row r="60" spans="2:13" x14ac:dyDescent="0.3">
      <c r="B60" s="15" t="s">
        <v>74</v>
      </c>
      <c r="C60" s="151">
        <f>C9/'Income Statement'!C7*365.25</f>
        <v>30.370228988307968</v>
      </c>
      <c r="D60" s="151">
        <f>D9/'Income Statement'!D7*365.25</f>
        <v>28.183824321797157</v>
      </c>
      <c r="E60" s="182">
        <f>E9/'Income Statement'!E7*365.25</f>
        <v>22.941672732653551</v>
      </c>
      <c r="F60" s="151">
        <f>AVERAGE($C60:$E60)</f>
        <v>27.165242014252893</v>
      </c>
      <c r="G60" s="151">
        <f t="shared" ref="G60:J60" si="25">AVERAGE($C60:$E60)</f>
        <v>27.165242014252893</v>
      </c>
      <c r="H60" s="151">
        <f t="shared" si="25"/>
        <v>27.165242014252893</v>
      </c>
      <c r="I60" s="151">
        <f t="shared" si="25"/>
        <v>27.165242014252893</v>
      </c>
      <c r="J60" s="151">
        <f t="shared" si="25"/>
        <v>27.165242014252893</v>
      </c>
    </row>
    <row r="61" spans="2:13" x14ac:dyDescent="0.3">
      <c r="B61" s="15" t="s">
        <v>75</v>
      </c>
      <c r="C61" s="151">
        <f>C10/'Income Statement'!C8*365.25</f>
        <v>101.6307888461872</v>
      </c>
      <c r="D61" s="151">
        <f>D10/'Income Statement'!D8*365.25</f>
        <v>80.259090289139593</v>
      </c>
      <c r="E61" s="182">
        <f>E10/'Income Statement'!E8*365.25</f>
        <v>76.910939799627627</v>
      </c>
      <c r="F61" s="151">
        <f t="shared" ref="F61:J78" si="26">AVERAGE($C61:$E61)</f>
        <v>86.266939644984802</v>
      </c>
      <c r="G61" s="151">
        <f t="shared" si="26"/>
        <v>86.266939644984802</v>
      </c>
      <c r="H61" s="151">
        <f t="shared" si="26"/>
        <v>86.266939644984802</v>
      </c>
      <c r="I61" s="151">
        <f t="shared" si="26"/>
        <v>86.266939644984802</v>
      </c>
      <c r="J61" s="151">
        <f t="shared" si="26"/>
        <v>86.266939644984802</v>
      </c>
    </row>
    <row r="62" spans="2:13" x14ac:dyDescent="0.3">
      <c r="B62" s="15" t="s">
        <v>76</v>
      </c>
      <c r="C62" s="31">
        <f t="shared" ref="C62:E63" si="27">C11</f>
        <v>14752</v>
      </c>
      <c r="D62" s="31">
        <f t="shared" si="27"/>
        <v>4413</v>
      </c>
      <c r="E62" s="121">
        <f t="shared" si="27"/>
        <v>4046</v>
      </c>
      <c r="F62" s="31">
        <f>E62</f>
        <v>4046</v>
      </c>
      <c r="G62" s="31">
        <f t="shared" ref="G62:J62" si="28">F62</f>
        <v>4046</v>
      </c>
      <c r="H62" s="31">
        <f t="shared" si="28"/>
        <v>4046</v>
      </c>
      <c r="I62" s="31">
        <f t="shared" si="28"/>
        <v>4046</v>
      </c>
      <c r="J62" s="31">
        <f t="shared" si="28"/>
        <v>4046</v>
      </c>
    </row>
    <row r="63" spans="2:13" x14ac:dyDescent="0.3">
      <c r="B63" s="15" t="s">
        <v>77</v>
      </c>
      <c r="C63" s="31">
        <f t="shared" si="27"/>
        <v>18842</v>
      </c>
      <c r="D63" s="31">
        <f t="shared" si="27"/>
        <v>21071</v>
      </c>
      <c r="E63" s="121">
        <f t="shared" si="27"/>
        <v>22204</v>
      </c>
      <c r="F63" s="31">
        <f>E63</f>
        <v>22204</v>
      </c>
      <c r="G63" s="31">
        <f t="shared" ref="G63:J63" si="29">F63</f>
        <v>22204</v>
      </c>
      <c r="H63" s="31">
        <f t="shared" si="29"/>
        <v>22204</v>
      </c>
      <c r="I63" s="31">
        <f t="shared" si="29"/>
        <v>22204</v>
      </c>
      <c r="J63" s="31">
        <f t="shared" si="29"/>
        <v>22204</v>
      </c>
    </row>
    <row r="64" spans="2:13" x14ac:dyDescent="0.3">
      <c r="B64" s="15" t="s">
        <v>78</v>
      </c>
      <c r="C64" s="19">
        <f>C13/'Income Statement'!C8</f>
        <v>1.9829433239924636E-2</v>
      </c>
      <c r="D64" s="19">
        <f>D13/'Income Statement'!D8</f>
        <v>2.5753607896198048E-2</v>
      </c>
      <c r="E64" s="113">
        <f>E13/'Income Statement'!E8</f>
        <v>3.0512752312557258E-2</v>
      </c>
      <c r="F64" s="112">
        <f t="shared" si="26"/>
        <v>2.5365264482893318E-2</v>
      </c>
      <c r="G64" s="21">
        <f t="shared" si="26"/>
        <v>2.5365264482893318E-2</v>
      </c>
      <c r="H64" s="21">
        <f t="shared" si="26"/>
        <v>2.5365264482893318E-2</v>
      </c>
      <c r="I64" s="21">
        <f t="shared" si="26"/>
        <v>2.5365264482893318E-2</v>
      </c>
      <c r="J64" s="21">
        <f t="shared" si="26"/>
        <v>2.5365264482893318E-2</v>
      </c>
    </row>
    <row r="65" spans="2:10" x14ac:dyDescent="0.3">
      <c r="B65" s="15" t="s">
        <v>79</v>
      </c>
      <c r="C65" s="152">
        <f t="shared" ref="C65:E67" si="30">C19</f>
        <v>528278</v>
      </c>
      <c r="D65" s="152">
        <f t="shared" si="30"/>
        <v>667972</v>
      </c>
      <c r="E65" s="183">
        <f t="shared" si="30"/>
        <v>872350</v>
      </c>
      <c r="F65" s="31">
        <f>E65</f>
        <v>872350</v>
      </c>
      <c r="G65" s="31">
        <f>F65</f>
        <v>872350</v>
      </c>
      <c r="H65" s="31">
        <f t="shared" ref="H65:J65" si="31">G65</f>
        <v>872350</v>
      </c>
      <c r="I65" s="31">
        <f t="shared" si="31"/>
        <v>872350</v>
      </c>
      <c r="J65" s="31">
        <f t="shared" si="31"/>
        <v>872350</v>
      </c>
    </row>
    <row r="66" spans="2:10" x14ac:dyDescent="0.3">
      <c r="B66" s="15" t="s">
        <v>80</v>
      </c>
      <c r="C66" s="31">
        <f t="shared" si="30"/>
        <v>3254</v>
      </c>
      <c r="D66" s="31">
        <f t="shared" si="30"/>
        <v>3807</v>
      </c>
      <c r="E66" s="121">
        <f t="shared" si="30"/>
        <v>3193</v>
      </c>
      <c r="F66" s="31">
        <f>E66</f>
        <v>3193</v>
      </c>
      <c r="G66" s="31">
        <f t="shared" ref="G66:J66" si="32">F66</f>
        <v>3193</v>
      </c>
      <c r="H66" s="31">
        <f t="shared" si="32"/>
        <v>3193</v>
      </c>
      <c r="I66" s="31">
        <f t="shared" si="32"/>
        <v>3193</v>
      </c>
      <c r="J66" s="31">
        <f t="shared" si="32"/>
        <v>3193</v>
      </c>
    </row>
    <row r="67" spans="2:10" x14ac:dyDescent="0.3">
      <c r="B67" s="15" t="s">
        <v>81</v>
      </c>
      <c r="C67" s="31">
        <f t="shared" si="30"/>
        <v>239905</v>
      </c>
      <c r="D67" s="31">
        <f t="shared" si="30"/>
        <v>287440</v>
      </c>
      <c r="E67" s="121">
        <f t="shared" si="30"/>
        <v>307228</v>
      </c>
      <c r="F67" s="31">
        <f>E67</f>
        <v>307228</v>
      </c>
      <c r="G67" s="31">
        <f t="shared" ref="G67:J67" si="33">F67</f>
        <v>307228</v>
      </c>
      <c r="H67" s="31">
        <f t="shared" si="33"/>
        <v>307228</v>
      </c>
      <c r="I67" s="31">
        <f t="shared" si="33"/>
        <v>307228</v>
      </c>
      <c r="J67" s="31">
        <f t="shared" si="33"/>
        <v>307228</v>
      </c>
    </row>
    <row r="68" spans="2:10" x14ac:dyDescent="0.3">
      <c r="B68" s="15" t="s">
        <v>82</v>
      </c>
      <c r="C68" s="19">
        <f>C22/'Income Statement'!C7</f>
        <v>2.2151992202498745E-3</v>
      </c>
      <c r="D68" s="19">
        <f>D22/'Income Statement'!D7</f>
        <v>7.9362054862938559E-3</v>
      </c>
      <c r="E68" s="113">
        <f>E22/'Income Statement'!E7</f>
        <v>5.9011123061606377E-3</v>
      </c>
      <c r="F68" s="112">
        <f t="shared" si="26"/>
        <v>5.3508390042347892E-3</v>
      </c>
      <c r="G68" s="21">
        <f t="shared" si="26"/>
        <v>5.3508390042347892E-3</v>
      </c>
      <c r="H68" s="21">
        <f t="shared" si="26"/>
        <v>5.3508390042347892E-3</v>
      </c>
      <c r="I68" s="21">
        <f t="shared" si="26"/>
        <v>5.3508390042347892E-3</v>
      </c>
      <c r="J68" s="21">
        <f t="shared" si="26"/>
        <v>5.3508390042347892E-3</v>
      </c>
    </row>
    <row r="69" spans="2:10" x14ac:dyDescent="0.3">
      <c r="E69" s="57"/>
      <c r="F69" s="151"/>
    </row>
    <row r="70" spans="2:10" x14ac:dyDescent="0.3">
      <c r="B70" s="28" t="s">
        <v>50</v>
      </c>
      <c r="E70" s="57"/>
      <c r="F70" s="151"/>
    </row>
    <row r="71" spans="2:10" x14ac:dyDescent="0.3">
      <c r="B71" s="15" t="s">
        <v>83</v>
      </c>
      <c r="C71" s="151">
        <f>C28/'Income Statement'!C8*365.25</f>
        <v>49.747578336735103</v>
      </c>
      <c r="D71" s="151">
        <f>D28/'Income Statement'!D8*365.25</f>
        <v>54.397193291016507</v>
      </c>
      <c r="E71" s="182">
        <f>E28/'Income Statement'!E8*365.25</f>
        <v>57.188929426367579</v>
      </c>
      <c r="F71" s="151">
        <f t="shared" si="26"/>
        <v>53.777900351373063</v>
      </c>
      <c r="G71" s="151">
        <f t="shared" si="26"/>
        <v>53.777900351373063</v>
      </c>
      <c r="H71" s="151">
        <f t="shared" si="26"/>
        <v>53.777900351373063</v>
      </c>
      <c r="I71" s="151">
        <f t="shared" si="26"/>
        <v>53.777900351373063</v>
      </c>
      <c r="J71" s="151">
        <f t="shared" si="26"/>
        <v>53.777900351373063</v>
      </c>
    </row>
    <row r="72" spans="2:10" x14ac:dyDescent="0.3">
      <c r="B72" s="15" t="s">
        <v>84</v>
      </c>
      <c r="C72" s="19">
        <f>C29/'Income Statement'!C8</f>
        <v>0.14127785222543418</v>
      </c>
      <c r="D72" s="19">
        <f>D29/'Income Statement'!D8</f>
        <v>0.16307993268418119</v>
      </c>
      <c r="E72" s="113">
        <f>E29/'Income Statement'!E8</f>
        <v>0.17617873924993349</v>
      </c>
      <c r="F72" s="112">
        <f t="shared" si="26"/>
        <v>0.16017884138651631</v>
      </c>
      <c r="G72" s="21">
        <f t="shared" si="26"/>
        <v>0.16017884138651631</v>
      </c>
      <c r="H72" s="21">
        <f t="shared" si="26"/>
        <v>0.16017884138651631</v>
      </c>
      <c r="I72" s="21">
        <f t="shared" si="26"/>
        <v>0.16017884138651631</v>
      </c>
      <c r="J72" s="21">
        <f t="shared" si="26"/>
        <v>0.16017884138651631</v>
      </c>
    </row>
    <row r="73" spans="2:10" x14ac:dyDescent="0.3">
      <c r="B73" s="15" t="s">
        <v>85</v>
      </c>
      <c r="C73" s="19">
        <f>C30/'Income Statement'!C7</f>
        <v>2.5094620652407817E-2</v>
      </c>
      <c r="D73" s="19">
        <f>D30/'Income Statement'!D7</f>
        <v>1.6644680539084536E-2</v>
      </c>
      <c r="E73" s="113">
        <f>E30/'Income Statement'!E7</f>
        <v>2.6495645653405519E-2</v>
      </c>
      <c r="F73" s="112">
        <f t="shared" si="26"/>
        <v>2.2744982281632627E-2</v>
      </c>
      <c r="G73" s="21">
        <f t="shared" si="26"/>
        <v>2.2744982281632627E-2</v>
      </c>
      <c r="H73" s="21">
        <f t="shared" si="26"/>
        <v>2.2744982281632627E-2</v>
      </c>
      <c r="I73" s="21">
        <f t="shared" si="26"/>
        <v>2.2744982281632627E-2</v>
      </c>
      <c r="J73" s="21">
        <f t="shared" si="26"/>
        <v>2.2744982281632627E-2</v>
      </c>
    </row>
    <row r="74" spans="2:10" x14ac:dyDescent="0.3">
      <c r="B74" s="15" t="s">
        <v>86</v>
      </c>
      <c r="C74" s="152">
        <f>C32</f>
        <v>57456</v>
      </c>
      <c r="D74" s="152">
        <f t="shared" ref="D74:E74" si="34">D32</f>
        <v>62267</v>
      </c>
      <c r="E74" s="183">
        <f t="shared" si="34"/>
        <v>68551</v>
      </c>
      <c r="F74" s="31">
        <f>E74</f>
        <v>68551</v>
      </c>
      <c r="G74" s="31">
        <f t="shared" ref="G74:J74" si="35">F74</f>
        <v>68551</v>
      </c>
      <c r="H74" s="31">
        <f t="shared" si="35"/>
        <v>68551</v>
      </c>
      <c r="I74" s="31">
        <f t="shared" si="35"/>
        <v>68551</v>
      </c>
      <c r="J74" s="31">
        <f t="shared" si="35"/>
        <v>68551</v>
      </c>
    </row>
    <row r="75" spans="2:10" x14ac:dyDescent="0.3">
      <c r="B75" s="15" t="s">
        <v>87</v>
      </c>
      <c r="C75" s="152">
        <f>C35</f>
        <v>302030</v>
      </c>
      <c r="D75" s="152">
        <f t="shared" ref="D75:E75" si="36">D35</f>
        <v>12912</v>
      </c>
      <c r="E75" s="183">
        <f t="shared" si="36"/>
        <v>4086</v>
      </c>
      <c r="F75" s="31">
        <f>E75</f>
        <v>4086</v>
      </c>
      <c r="G75" s="31">
        <f>F75</f>
        <v>4086</v>
      </c>
      <c r="H75" s="31">
        <f t="shared" ref="H75:J75" si="37">G75</f>
        <v>4086</v>
      </c>
      <c r="I75" s="31">
        <f t="shared" si="37"/>
        <v>4086</v>
      </c>
      <c r="J75" s="31">
        <f t="shared" si="37"/>
        <v>4086</v>
      </c>
    </row>
    <row r="76" spans="2:10" x14ac:dyDescent="0.3">
      <c r="B76" s="15" t="s">
        <v>88</v>
      </c>
      <c r="C76" s="31">
        <f>C36</f>
        <v>224837</v>
      </c>
      <c r="D76" s="31">
        <f t="shared" ref="D76:E76" si="38">D36</f>
        <v>565171</v>
      </c>
      <c r="E76" s="121">
        <f t="shared" si="38"/>
        <v>595434</v>
      </c>
      <c r="F76" s="31">
        <f>E76</f>
        <v>595434</v>
      </c>
      <c r="G76" s="31">
        <f t="shared" ref="G76:J76" si="39">F76</f>
        <v>595434</v>
      </c>
      <c r="H76" s="31">
        <f t="shared" si="39"/>
        <v>595434</v>
      </c>
      <c r="I76" s="31">
        <f t="shared" si="39"/>
        <v>595434</v>
      </c>
      <c r="J76" s="31">
        <f t="shared" si="39"/>
        <v>595434</v>
      </c>
    </row>
    <row r="77" spans="2:10" x14ac:dyDescent="0.3">
      <c r="B77" s="15" t="s">
        <v>89</v>
      </c>
      <c r="C77" s="31">
        <f>C38</f>
        <v>215119</v>
      </c>
      <c r="D77" s="31">
        <f t="shared" ref="D77:E77" si="40">D38</f>
        <v>269769</v>
      </c>
      <c r="E77" s="121">
        <f t="shared" si="40"/>
        <v>283406</v>
      </c>
      <c r="F77" s="31">
        <f>E77</f>
        <v>283406</v>
      </c>
      <c r="G77" s="31">
        <f t="shared" ref="G77:J77" si="41">F77</f>
        <v>283406</v>
      </c>
      <c r="H77" s="31">
        <f t="shared" si="41"/>
        <v>283406</v>
      </c>
      <c r="I77" s="31">
        <f t="shared" si="41"/>
        <v>283406</v>
      </c>
      <c r="J77" s="31">
        <f t="shared" si="41"/>
        <v>283406</v>
      </c>
    </row>
    <row r="78" spans="2:10" x14ac:dyDescent="0.3">
      <c r="B78" s="15" t="s">
        <v>90</v>
      </c>
      <c r="C78" s="19">
        <f>C39/'Income Statement'!C8</f>
        <v>1.5218005750860181E-3</v>
      </c>
      <c r="D78" s="19">
        <f>D39/'Income Statement'!D8</f>
        <v>1.5790341697972479E-3</v>
      </c>
      <c r="E78" s="113">
        <f>E39/'Income Statement'!E8</f>
        <v>2.3335402074652007E-3</v>
      </c>
      <c r="F78" s="112">
        <f t="shared" si="26"/>
        <v>1.8114583174494887E-3</v>
      </c>
      <c r="G78" s="21">
        <f t="shared" si="26"/>
        <v>1.8114583174494887E-3</v>
      </c>
      <c r="H78" s="21">
        <f t="shared" si="26"/>
        <v>1.8114583174494887E-3</v>
      </c>
      <c r="I78" s="21">
        <f t="shared" si="26"/>
        <v>1.8114583174494887E-3</v>
      </c>
      <c r="J78" s="21">
        <f t="shared" si="26"/>
        <v>1.8114583174494887E-3</v>
      </c>
    </row>
    <row r="79" spans="2:10" x14ac:dyDescent="0.3">
      <c r="E79" s="57"/>
    </row>
    <row r="80" spans="2:10" x14ac:dyDescent="0.3">
      <c r="E80" s="57"/>
    </row>
  </sheetData>
  <pageMargins left="0.7" right="0.7" top="0.75" bottom="0.75" header="0.3" footer="0.3"/>
  <ignoredErrors>
    <ignoredError sqref="F74 F20:J2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AADA-2835-4997-A6CB-50DBF41CD266}">
  <dimension ref="B1:J41"/>
  <sheetViews>
    <sheetView showGridLines="0" zoomScale="97" workbookViewId="0">
      <selection activeCell="F26" sqref="F26"/>
    </sheetView>
  </sheetViews>
  <sheetFormatPr defaultColWidth="9" defaultRowHeight="13" x14ac:dyDescent="0.3"/>
  <cols>
    <col min="1" max="1" width="9" style="15"/>
    <col min="2" max="2" width="38" style="15" bestFit="1" customWidth="1"/>
    <col min="3" max="3" width="8.7265625" style="15" bestFit="1" customWidth="1"/>
    <col min="4" max="4" width="12" style="15" bestFit="1" customWidth="1"/>
    <col min="5" max="5" width="8.7265625" style="15" bestFit="1" customWidth="1"/>
    <col min="6" max="6" width="12.7265625" style="15" bestFit="1" customWidth="1"/>
    <col min="7" max="10" width="12" style="15" bestFit="1" customWidth="1"/>
    <col min="11" max="16384" width="9" style="15"/>
  </cols>
  <sheetData>
    <row r="1" spans="2:10" s="1" customFormat="1" ht="15.5" x14ac:dyDescent="0.35">
      <c r="B1" s="2" t="str">
        <f>Intro!B1</f>
        <v>Crocs Inc (CROX)</v>
      </c>
    </row>
    <row r="2" spans="2:10" s="1" customFormat="1" ht="14.5" x14ac:dyDescent="0.35">
      <c r="B2" s="4" t="s">
        <v>91</v>
      </c>
    </row>
    <row r="3" spans="2:10" s="1" customFormat="1" ht="14.5" x14ac:dyDescent="0.35">
      <c r="B3" s="11" t="s">
        <v>4</v>
      </c>
    </row>
    <row r="4" spans="2:10" x14ac:dyDescent="0.3">
      <c r="E4" s="57"/>
    </row>
    <row r="5" spans="2:10" x14ac:dyDescent="0.3">
      <c r="C5" s="12" t="s">
        <v>5</v>
      </c>
      <c r="D5" s="12"/>
      <c r="E5" s="79"/>
      <c r="F5" s="13" t="s">
        <v>6</v>
      </c>
      <c r="G5" s="13"/>
      <c r="H5" s="13"/>
      <c r="I5" s="13"/>
      <c r="J5" s="13"/>
    </row>
    <row r="6" spans="2:10" x14ac:dyDescent="0.3">
      <c r="C6" s="14">
        <v>2022</v>
      </c>
      <c r="D6" s="14">
        <v>2023</v>
      </c>
      <c r="E6" s="80">
        <v>2024</v>
      </c>
      <c r="F6" s="14">
        <v>2025</v>
      </c>
      <c r="G6" s="14">
        <v>2026</v>
      </c>
      <c r="H6" s="14">
        <v>2027</v>
      </c>
      <c r="I6" s="14">
        <v>2028</v>
      </c>
      <c r="J6" s="14">
        <v>2029</v>
      </c>
    </row>
    <row r="7" spans="2:10" x14ac:dyDescent="0.3">
      <c r="B7" s="43" t="s">
        <v>18</v>
      </c>
      <c r="C7" s="204">
        <f>'Income Statement'!C21</f>
        <v>540159</v>
      </c>
      <c r="D7" s="204">
        <f>'Income Statement'!D21</f>
        <v>792566</v>
      </c>
      <c r="E7" s="211">
        <f>'Income Statement'!E21</f>
        <v>950071</v>
      </c>
      <c r="F7" s="204">
        <f ca="1">'Income Statement'!F21</f>
        <v>778752.52352566109</v>
      </c>
      <c r="G7" s="204">
        <f ca="1">'Income Statement'!G21</f>
        <v>814219.04395107459</v>
      </c>
      <c r="H7" s="204">
        <f ca="1">'Income Statement'!H21</f>
        <v>843049.60368352127</v>
      </c>
      <c r="I7" s="204">
        <f ca="1">'Income Statement'!I21</f>
        <v>866940.4232621023</v>
      </c>
      <c r="J7" s="204">
        <f ca="1">'Income Statement'!J21</f>
        <v>897391.89772188431</v>
      </c>
    </row>
    <row r="8" spans="2:10" x14ac:dyDescent="0.3">
      <c r="B8" s="44" t="s">
        <v>92</v>
      </c>
      <c r="C8" s="31"/>
      <c r="D8" s="31"/>
      <c r="E8" s="121"/>
      <c r="F8" s="122">
        <f>-'Asset Schedule'!F8</f>
        <v>45004.165545677926</v>
      </c>
      <c r="G8" s="122">
        <f>-'Asset Schedule'!G8</f>
        <v>60196.580157019744</v>
      </c>
      <c r="H8" s="122">
        <f>-'Asset Schedule'!H8</f>
        <v>77507.790165037004</v>
      </c>
      <c r="I8" s="122">
        <f>-'Asset Schedule'!I8</f>
        <v>95921.933206713962</v>
      </c>
      <c r="J8" s="122">
        <f>-'Asset Schedule'!J8</f>
        <v>113914.77421498677</v>
      </c>
    </row>
    <row r="9" spans="2:10" x14ac:dyDescent="0.3">
      <c r="B9" s="44" t="s">
        <v>93</v>
      </c>
      <c r="C9" s="123"/>
      <c r="D9" s="123"/>
      <c r="E9" s="124"/>
      <c r="F9" s="125">
        <f>-'Asset Schedule'!F14</f>
        <v>22532.418364281366</v>
      </c>
      <c r="G9" s="125">
        <f>-'Asset Schedule'!G14</f>
        <v>22387.519047552218</v>
      </c>
      <c r="H9" s="125">
        <f>-'Asset Schedule'!H14</f>
        <v>22243.551535463343</v>
      </c>
      <c r="I9" s="125">
        <f>-'Asset Schedule'!I14</f>
        <v>22100.509835854766</v>
      </c>
      <c r="J9" s="125">
        <f>-'Asset Schedule'!J14</f>
        <v>21958.387995100307</v>
      </c>
    </row>
    <row r="10" spans="2:10" x14ac:dyDescent="0.3">
      <c r="B10" s="75" t="s">
        <v>94</v>
      </c>
      <c r="C10" s="31"/>
      <c r="D10" s="31"/>
      <c r="E10" s="121"/>
      <c r="F10" s="120">
        <f>SUM(F8:F9)</f>
        <v>67536.583909959299</v>
      </c>
      <c r="G10" s="120">
        <f t="shared" ref="G10:J10" si="0">SUM(G8:G9)</f>
        <v>82584.099204571961</v>
      </c>
      <c r="H10" s="120">
        <f t="shared" si="0"/>
        <v>99751.341700500343</v>
      </c>
      <c r="I10" s="120">
        <f t="shared" si="0"/>
        <v>118022.44304256873</v>
      </c>
      <c r="J10" s="120">
        <f t="shared" si="0"/>
        <v>135873.16221008709</v>
      </c>
    </row>
    <row r="11" spans="2:10" x14ac:dyDescent="0.3">
      <c r="B11" s="44" t="s">
        <v>95</v>
      </c>
      <c r="C11" s="31"/>
      <c r="D11" s="31"/>
      <c r="E11" s="121"/>
      <c r="F11" s="122">
        <f>'Balance Sheet'!E9-'Balance Sheet'!F9</f>
        <v>-56587.488121180038</v>
      </c>
      <c r="G11" s="122">
        <f>'Balance Sheet'!F9-'Balance Sheet'!G9</f>
        <v>-8641.7234233324998</v>
      </c>
      <c r="H11" s="122">
        <f>'Balance Sheet'!G9-'Balance Sheet'!H9</f>
        <v>-8072.1552886127611</v>
      </c>
      <c r="I11" s="122">
        <f>'Balance Sheet'!H9-'Balance Sheet'!I9</f>
        <v>-7446.5632537453203</v>
      </c>
      <c r="J11" s="122">
        <f>'Balance Sheet'!I9-'Balance Sheet'!J9</f>
        <v>-6768.0986017374089</v>
      </c>
    </row>
    <row r="12" spans="2:10" x14ac:dyDescent="0.3">
      <c r="B12" s="44" t="s">
        <v>96</v>
      </c>
      <c r="C12" s="31"/>
      <c r="D12" s="31"/>
      <c r="E12" s="121"/>
      <c r="F12" s="122">
        <f>'Balance Sheet'!E10-'Balance Sheet'!F10</f>
        <v>-86623.456893169612</v>
      </c>
      <c r="G12" s="122">
        <f>'Balance Sheet'!F10-'Balance Sheet'!G10</f>
        <v>-12179.130064562254</v>
      </c>
      <c r="H12" s="122">
        <f>'Balance Sheet'!G10-'Balance Sheet'!H10</f>
        <v>-11376.414673943305</v>
      </c>
      <c r="I12" s="122">
        <f>'Balance Sheet'!H10-'Balance Sheet'!I10</f>
        <v>-10494.742536712612</v>
      </c>
      <c r="J12" s="122">
        <f>'Balance Sheet'!I10-'Balance Sheet'!J10</f>
        <v>-9538.5548833678477</v>
      </c>
    </row>
    <row r="13" spans="2:10" x14ac:dyDescent="0.3">
      <c r="B13" s="44" t="s">
        <v>97</v>
      </c>
      <c r="C13" s="31"/>
      <c r="D13" s="31"/>
      <c r="E13" s="121"/>
      <c r="F13" s="122">
        <f>'Balance Sheet'!E11-'Balance Sheet'!F11</f>
        <v>0</v>
      </c>
      <c r="G13" s="122">
        <f>'Balance Sheet'!F11-'Balance Sheet'!G11</f>
        <v>0</v>
      </c>
      <c r="H13" s="122">
        <f>'Balance Sheet'!G11-'Balance Sheet'!H11</f>
        <v>0</v>
      </c>
      <c r="I13" s="122">
        <f>'Balance Sheet'!H11-'Balance Sheet'!I11</f>
        <v>0</v>
      </c>
      <c r="J13" s="122">
        <f>'Balance Sheet'!I11-'Balance Sheet'!J11</f>
        <v>0</v>
      </c>
    </row>
    <row r="14" spans="2:10" x14ac:dyDescent="0.3">
      <c r="B14" s="44" t="s">
        <v>98</v>
      </c>
      <c r="C14" s="31"/>
      <c r="D14" s="31"/>
      <c r="E14" s="121"/>
      <c r="F14" s="122">
        <f>'Balance Sheet'!E12-'Balance Sheet'!F12</f>
        <v>0</v>
      </c>
      <c r="G14" s="122">
        <f>'Balance Sheet'!F12-'Balance Sheet'!G12</f>
        <v>0</v>
      </c>
      <c r="H14" s="122">
        <f>'Balance Sheet'!G12-'Balance Sheet'!H12</f>
        <v>0</v>
      </c>
      <c r="I14" s="122">
        <f>'Balance Sheet'!H12-'Balance Sheet'!I12</f>
        <v>0</v>
      </c>
      <c r="J14" s="122">
        <f>'Balance Sheet'!I12-'Balance Sheet'!J12</f>
        <v>0</v>
      </c>
    </row>
    <row r="15" spans="2:10" x14ac:dyDescent="0.3">
      <c r="B15" s="44" t="s">
        <v>99</v>
      </c>
      <c r="C15" s="31"/>
      <c r="D15" s="31"/>
      <c r="E15" s="121"/>
      <c r="F15" s="122">
        <f>'Balance Sheet'!E13-'Balance Sheet'!F13</f>
        <v>4060.0478433705939</v>
      </c>
      <c r="G15" s="122">
        <f>'Balance Sheet'!F13-'Balance Sheet'!G13</f>
        <v>-1307.9811843073257</v>
      </c>
      <c r="H15" s="122">
        <f>'Balance Sheet'!G13-'Balance Sheet'!H13</f>
        <v>-1221.7733335234152</v>
      </c>
      <c r="I15" s="122">
        <f>'Balance Sheet'!H13-'Balance Sheet'!I13</f>
        <v>-1127.0859001753415</v>
      </c>
      <c r="J15" s="122">
        <f>'Balance Sheet'!I13-'Balance Sheet'!J13</f>
        <v>-1024.3958514927217</v>
      </c>
    </row>
    <row r="16" spans="2:10" x14ac:dyDescent="0.3">
      <c r="B16" s="44" t="s">
        <v>100</v>
      </c>
      <c r="C16" s="31"/>
      <c r="D16" s="31"/>
      <c r="E16" s="121"/>
      <c r="F16" s="122">
        <f>'Balance Sheet'!E22-'Balance Sheet'!F22</f>
        <v>1598.7889294369306</v>
      </c>
      <c r="G16" s="122">
        <f>'Balance Sheet'!F22-'Balance Sheet'!G22</f>
        <v>-621.72580444048799</v>
      </c>
      <c r="H16" s="122">
        <f>'Balance Sheet'!G22-'Balance Sheet'!H22</f>
        <v>-580.74842187509057</v>
      </c>
      <c r="I16" s="122">
        <f>'Balance Sheet'!H22-'Balance Sheet'!I22</f>
        <v>-535.74041917976501</v>
      </c>
      <c r="J16" s="122">
        <f>'Balance Sheet'!I22-'Balance Sheet'!J22</f>
        <v>-486.92851432117095</v>
      </c>
    </row>
    <row r="17" spans="2:10" x14ac:dyDescent="0.3">
      <c r="C17" s="31"/>
      <c r="D17" s="31"/>
      <c r="E17" s="121"/>
      <c r="F17" s="122"/>
      <c r="G17" s="122"/>
      <c r="H17" s="122"/>
      <c r="I17" s="122"/>
      <c r="J17" s="122"/>
    </row>
    <row r="18" spans="2:10" x14ac:dyDescent="0.3">
      <c r="B18" s="44" t="s">
        <v>101</v>
      </c>
      <c r="C18" s="31"/>
      <c r="D18" s="31"/>
      <c r="E18" s="121"/>
      <c r="F18" s="122">
        <f>'Balance Sheet'!F28-'Balance Sheet'!E28</f>
        <v>11184.135773736867</v>
      </c>
      <c r="G18" s="122">
        <f>'Balance Sheet'!G28-'Balance Sheet'!F28</f>
        <v>7592.3412337778718</v>
      </c>
      <c r="H18" s="122">
        <f>'Balance Sheet'!H28-'Balance Sheet'!G28</f>
        <v>7091.9369251878234</v>
      </c>
      <c r="I18" s="122">
        <f>'Balance Sheet'!I28-'Balance Sheet'!H28</f>
        <v>6542.3118134857505</v>
      </c>
      <c r="J18" s="122">
        <f>'Balance Sheet'!J28-'Balance Sheet'!I28</f>
        <v>5946.2345149238245</v>
      </c>
    </row>
    <row r="19" spans="2:10" x14ac:dyDescent="0.3">
      <c r="B19" s="44" t="s">
        <v>102</v>
      </c>
      <c r="C19" s="31"/>
      <c r="D19" s="31"/>
      <c r="E19" s="121"/>
      <c r="F19" s="122">
        <f>'Balance Sheet'!F29-'Balance Sheet'!E29</f>
        <v>2286.7853604790871</v>
      </c>
      <c r="G19" s="122">
        <f>'Balance Sheet'!G29-'Balance Sheet'!F29</f>
        <v>8259.7565974132158</v>
      </c>
      <c r="H19" s="122">
        <f>'Balance Sheet'!H29-'Balance Sheet'!G29</f>
        <v>7715.3635489473236</v>
      </c>
      <c r="I19" s="122">
        <f>'Balance Sheet'!I29-'Balance Sheet'!H29</f>
        <v>7117.4228739038226</v>
      </c>
      <c r="J19" s="122">
        <f>'Balance Sheet'!J29-'Balance Sheet'!I29</f>
        <v>6468.9465676149121</v>
      </c>
    </row>
    <row r="20" spans="2:10" x14ac:dyDescent="0.3">
      <c r="B20" s="44" t="s">
        <v>103</v>
      </c>
      <c r="C20" s="31"/>
      <c r="D20" s="31"/>
      <c r="E20" s="121"/>
      <c r="F20" s="122">
        <f>'Balance Sheet'!F30-'Balance Sheet'!E30</f>
        <v>-12586.55500933624</v>
      </c>
      <c r="G20" s="122">
        <f>'Balance Sheet'!G30-'Balance Sheet'!F30</f>
        <v>2642.7897372432635</v>
      </c>
      <c r="H20" s="122">
        <f>'Balance Sheet'!H30-'Balance Sheet'!G30</f>
        <v>2468.605868197672</v>
      </c>
      <c r="I20" s="122">
        <f>'Balance Sheet'!I30-'Balance Sheet'!H30</f>
        <v>2277.2889134123543</v>
      </c>
      <c r="J20" s="122">
        <f>'Balance Sheet'!J30-'Balance Sheet'!I30</f>
        <v>2069.8025901903457</v>
      </c>
    </row>
    <row r="21" spans="2:10" x14ac:dyDescent="0.3">
      <c r="B21" s="44" t="s">
        <v>104</v>
      </c>
      <c r="C21" s="31"/>
      <c r="D21" s="31"/>
      <c r="E21" s="121"/>
      <c r="F21" s="122">
        <f>'Balance Sheet'!F39-'Balance Sheet'!E39</f>
        <v>-551.29560747593314</v>
      </c>
      <c r="G21" s="122">
        <f>'Balance Sheet'!G39-'Balance Sheet'!F39</f>
        <v>93.409370794413007</v>
      </c>
      <c r="H21" s="122">
        <f>'Balance Sheet'!H39-'Balance Sheet'!G39</f>
        <v>87.252844082961474</v>
      </c>
      <c r="I21" s="122">
        <f>'Balance Sheet'!I39-'Balance Sheet'!H39</f>
        <v>80.490748666531999</v>
      </c>
      <c r="J21" s="122">
        <f>'Balance Sheet'!J39-'Balance Sheet'!I39</f>
        <v>73.15714712136014</v>
      </c>
    </row>
    <row r="22" spans="2:10" x14ac:dyDescent="0.3">
      <c r="C22" s="31"/>
      <c r="D22" s="31"/>
      <c r="E22" s="121"/>
      <c r="F22" s="31"/>
      <c r="G22" s="31"/>
      <c r="H22" s="31"/>
      <c r="I22" s="31"/>
      <c r="J22" s="31"/>
    </row>
    <row r="23" spans="2:10" x14ac:dyDescent="0.3">
      <c r="B23" s="75" t="s">
        <v>105</v>
      </c>
      <c r="C23" s="126"/>
      <c r="D23" s="126"/>
      <c r="E23" s="127"/>
      <c r="F23" s="128">
        <f>SUM(F11:F21)</f>
        <v>-137219.03772413835</v>
      </c>
      <c r="G23" s="128">
        <f t="shared" ref="G23:J23" si="1">SUM(G11:G21)</f>
        <v>-4162.2635374138035</v>
      </c>
      <c r="H23" s="128">
        <f t="shared" si="1"/>
        <v>-3887.9325315387919</v>
      </c>
      <c r="I23" s="128">
        <f t="shared" si="1"/>
        <v>-3586.6177603445799</v>
      </c>
      <c r="J23" s="128">
        <f t="shared" si="1"/>
        <v>-3259.8370310687069</v>
      </c>
    </row>
    <row r="24" spans="2:10" x14ac:dyDescent="0.3">
      <c r="B24" s="76" t="s">
        <v>106</v>
      </c>
      <c r="C24" s="129"/>
      <c r="D24" s="129"/>
      <c r="E24" s="130"/>
      <c r="F24" s="131">
        <f ca="1">SUM(F23,F10,F7)</f>
        <v>709070.06971148204</v>
      </c>
      <c r="G24" s="131">
        <f t="shared" ref="G24:J24" ca="1" si="2">SUM(G23,G10,G7)</f>
        <v>892640.87961823272</v>
      </c>
      <c r="H24" s="131">
        <f t="shared" ca="1" si="2"/>
        <v>938913.01285248285</v>
      </c>
      <c r="I24" s="131">
        <f t="shared" ca="1" si="2"/>
        <v>981376.2485443264</v>
      </c>
      <c r="J24" s="131">
        <f t="shared" ca="1" si="2"/>
        <v>1030005.2229009026</v>
      </c>
    </row>
    <row r="25" spans="2:10" x14ac:dyDescent="0.3">
      <c r="B25" s="43"/>
      <c r="C25" s="31"/>
      <c r="D25" s="31"/>
      <c r="E25" s="121"/>
      <c r="F25" s="31"/>
      <c r="G25" s="31"/>
      <c r="H25" s="31"/>
      <c r="I25" s="31"/>
      <c r="J25" s="31"/>
    </row>
    <row r="26" spans="2:10" x14ac:dyDescent="0.3">
      <c r="B26" s="44" t="s">
        <v>107</v>
      </c>
      <c r="C26" s="31"/>
      <c r="D26" s="31"/>
      <c r="E26" s="121"/>
      <c r="F26" s="122">
        <f>-'Asset Schedule'!F9</f>
        <v>-153859.33627475056</v>
      </c>
      <c r="G26" s="122">
        <f>-'Asset Schedule'!G9</f>
        <v>-189458.00227495734</v>
      </c>
      <c r="H26" s="122">
        <f>-'Asset Schedule'!H9</f>
        <v>-222901.82338201796</v>
      </c>
      <c r="I26" s="122">
        <f>-'Asset Schedule'!I9</f>
        <v>-249819.58911015373</v>
      </c>
      <c r="J26" s="122">
        <f>-'Asset Schedule'!J9</f>
        <v>-265757.13905644882</v>
      </c>
    </row>
    <row r="27" spans="2:10" x14ac:dyDescent="0.3">
      <c r="B27" s="44" t="s">
        <v>108</v>
      </c>
      <c r="C27" s="31"/>
      <c r="D27" s="31"/>
      <c r="E27" s="121"/>
      <c r="F27" s="122">
        <f>-'Asset Schedule'!F10</f>
        <v>26373.058705584757</v>
      </c>
      <c r="G27" s="122">
        <f>-'Asset Schedule'!G10</f>
        <v>35276.022188327981</v>
      </c>
      <c r="H27" s="122">
        <f>-'Asset Schedule'!H10</f>
        <v>45420.628854632254</v>
      </c>
      <c r="I27" s="122">
        <f>-'Asset Schedule'!I10</f>
        <v>56211.569416751423</v>
      </c>
      <c r="J27" s="122">
        <f>-'Asset Schedule'!J10</f>
        <v>66755.621204797586</v>
      </c>
    </row>
    <row r="28" spans="2:10" x14ac:dyDescent="0.3">
      <c r="B28" s="44" t="s">
        <v>109</v>
      </c>
      <c r="C28" s="31"/>
      <c r="D28" s="31"/>
      <c r="E28" s="121"/>
      <c r="F28" s="122">
        <f>-'Asset Schedule'!F15</f>
        <v>-11104.542598348122</v>
      </c>
      <c r="G28" s="122">
        <f>-'Asset Schedule'!G15</f>
        <v>-11033.132569958047</v>
      </c>
      <c r="H28" s="122">
        <f>-'Asset Schedule'!H15</f>
        <v>-10962.181758335299</v>
      </c>
      <c r="I28" s="122">
        <f>-'Asset Schedule'!I15</f>
        <v>-10891.687210392698</v>
      </c>
      <c r="J28" s="122">
        <f>-'Asset Schedule'!J15</f>
        <v>-10821.645992033495</v>
      </c>
    </row>
    <row r="29" spans="2:10" x14ac:dyDescent="0.3">
      <c r="B29" s="76" t="s">
        <v>110</v>
      </c>
      <c r="C29" s="129"/>
      <c r="D29" s="129"/>
      <c r="E29" s="130"/>
      <c r="F29" s="129">
        <f>SUM(F26:F28)</f>
        <v>-138590.82016751391</v>
      </c>
      <c r="G29" s="129">
        <f t="shared" ref="G29:J29" si="3">SUM(G26:G28)</f>
        <v>-165215.11265658741</v>
      </c>
      <c r="H29" s="129">
        <f t="shared" si="3"/>
        <v>-188443.37628572099</v>
      </c>
      <c r="I29" s="129">
        <f t="shared" si="3"/>
        <v>-204499.70690379501</v>
      </c>
      <c r="J29" s="129">
        <f t="shared" si="3"/>
        <v>-209823.16384368474</v>
      </c>
    </row>
    <row r="30" spans="2:10" x14ac:dyDescent="0.3">
      <c r="B30" s="44"/>
      <c r="C30" s="31"/>
      <c r="D30" s="31"/>
      <c r="E30" s="121"/>
      <c r="F30" s="31"/>
      <c r="G30" s="31"/>
      <c r="H30" s="31"/>
      <c r="I30" s="31"/>
      <c r="J30" s="31"/>
    </row>
    <row r="31" spans="2:10" x14ac:dyDescent="0.3">
      <c r="B31" s="44"/>
      <c r="C31" s="31"/>
      <c r="D31" s="31"/>
      <c r="E31" s="121"/>
      <c r="F31" s="31"/>
      <c r="G31" s="31"/>
      <c r="H31" s="31"/>
      <c r="I31" s="31"/>
      <c r="J31" s="31"/>
    </row>
    <row r="32" spans="2:10" x14ac:dyDescent="0.3">
      <c r="B32" s="46" t="s">
        <v>111</v>
      </c>
      <c r="C32" s="31"/>
      <c r="D32" s="31"/>
      <c r="E32" s="121"/>
      <c r="F32" s="122">
        <f ca="1">'Debt Schedule'!G107</f>
        <v>-108692.12030564777</v>
      </c>
      <c r="G32" s="122">
        <f ca="1">'Debt Schedule'!H107</f>
        <v>-230018.28783483134</v>
      </c>
      <c r="H32" s="122">
        <f ca="1">'Debt Schedule'!I107</f>
        <v>-319911.74202241679</v>
      </c>
      <c r="I32" s="122">
        <f ca="1">'Debt Schedule'!J107</f>
        <v>-387710.66607187968</v>
      </c>
      <c r="J32" s="122">
        <f ca="1">'Debt Schedule'!K107</f>
        <v>-299687.79614390992</v>
      </c>
    </row>
    <row r="33" spans="2:10" x14ac:dyDescent="0.3">
      <c r="B33" s="46" t="s">
        <v>112</v>
      </c>
      <c r="C33" s="31"/>
      <c r="D33" s="31"/>
      <c r="E33" s="121"/>
      <c r="F33" s="122">
        <f>'Debt Schedule'!G97</f>
        <v>8132.2</v>
      </c>
      <c r="G33" s="122">
        <f>'Debt Schedule'!H97</f>
        <v>8132.2</v>
      </c>
      <c r="H33" s="122">
        <f>'Debt Schedule'!I97</f>
        <v>8132.2</v>
      </c>
      <c r="I33" s="122">
        <f>'Debt Schedule'!J97</f>
        <v>8132.2</v>
      </c>
      <c r="J33" s="122">
        <f>'Debt Schedule'!K97</f>
        <v>8132.2</v>
      </c>
    </row>
    <row r="34" spans="2:10" x14ac:dyDescent="0.3">
      <c r="B34" s="77" t="s">
        <v>113</v>
      </c>
      <c r="C34" s="31"/>
      <c r="D34" s="31"/>
      <c r="E34" s="121"/>
      <c r="F34" s="122">
        <f ca="1">'Debt Schedule'!G98</f>
        <v>-195000</v>
      </c>
      <c r="G34" s="122">
        <f ca="1">'Debt Schedule'!H98</f>
        <v>-5000</v>
      </c>
      <c r="H34" s="122">
        <f ca="1">'Debt Schedule'!I98</f>
        <v>-5000</v>
      </c>
      <c r="I34" s="122">
        <f ca="1">'Debt Schedule'!J98</f>
        <v>-5000</v>
      </c>
      <c r="J34" s="122">
        <f ca="1">'Debt Schedule'!K98</f>
        <v>-830000</v>
      </c>
    </row>
    <row r="35" spans="2:10" x14ac:dyDescent="0.3">
      <c r="B35" s="76" t="s">
        <v>114</v>
      </c>
      <c r="C35" s="129"/>
      <c r="D35" s="129"/>
      <c r="E35" s="130"/>
      <c r="F35" s="129">
        <f ca="1">SUM(F32:F34)</f>
        <v>-295559.92030564777</v>
      </c>
      <c r="G35" s="129">
        <f ca="1">SUM(G32:G34)</f>
        <v>-226886.08783483133</v>
      </c>
      <c r="H35" s="129">
        <f ca="1">SUM(H32:H34)</f>
        <v>-316779.54202241678</v>
      </c>
      <c r="I35" s="129">
        <f ca="1">SUM(I32:I34)</f>
        <v>-384578.46607187967</v>
      </c>
      <c r="J35" s="129">
        <f ca="1">SUM(J32:J34)</f>
        <v>-1121555.59614391</v>
      </c>
    </row>
    <row r="36" spans="2:10" x14ac:dyDescent="0.3">
      <c r="B36" s="44"/>
      <c r="C36" s="31"/>
      <c r="D36" s="31"/>
      <c r="E36" s="121"/>
      <c r="F36" s="31"/>
      <c r="G36" s="31"/>
      <c r="H36" s="31"/>
      <c r="I36" s="31"/>
      <c r="J36" s="31"/>
    </row>
    <row r="37" spans="2:10" x14ac:dyDescent="0.3">
      <c r="B37" s="78" t="s">
        <v>115</v>
      </c>
      <c r="C37" s="129"/>
      <c r="D37" s="129"/>
      <c r="E37" s="130"/>
      <c r="F37" s="129">
        <f ca="1">SUM(F35,F29,F24)</f>
        <v>274919.32923832035</v>
      </c>
      <c r="G37" s="129">
        <f ca="1">SUM(G35,G29,G24)</f>
        <v>500539.67912681401</v>
      </c>
      <c r="H37" s="129">
        <f ca="1">SUM(H35,H29,H24)</f>
        <v>433690.09454434505</v>
      </c>
      <c r="I37" s="129">
        <f ca="1">SUM(I35,I29,I24)</f>
        <v>392298.07556865166</v>
      </c>
      <c r="J37" s="129">
        <f ca="1">SUM(J35,J29,J24)</f>
        <v>-301373.53708669217</v>
      </c>
    </row>
    <row r="38" spans="2:10" x14ac:dyDescent="0.3">
      <c r="B38" s="15" t="s">
        <v>116</v>
      </c>
      <c r="C38" s="31"/>
      <c r="D38" s="31"/>
      <c r="E38" s="121"/>
      <c r="F38" s="31">
        <f>'Balance Sheet'!E8</f>
        <v>180485</v>
      </c>
      <c r="G38" s="31">
        <f ca="1">'Balance Sheet'!F8</f>
        <v>455404.32923832035</v>
      </c>
      <c r="H38" s="31">
        <f ca="1">'Balance Sheet'!G8</f>
        <v>955944.00836513436</v>
      </c>
      <c r="I38" s="31">
        <f ca="1">'Balance Sheet'!H8</f>
        <v>1389634.1029094793</v>
      </c>
      <c r="J38" s="31">
        <f ca="1">'Balance Sheet'!I8</f>
        <v>1781932.1784781311</v>
      </c>
    </row>
    <row r="39" spans="2:10" x14ac:dyDescent="0.3">
      <c r="B39" s="15" t="s">
        <v>117</v>
      </c>
      <c r="C39" s="31"/>
      <c r="D39" s="31"/>
      <c r="E39" s="121"/>
      <c r="F39" s="31">
        <f ca="1">F37+F38</f>
        <v>455404.32923832035</v>
      </c>
      <c r="G39" s="31">
        <f t="shared" ref="G39:J39" ca="1" si="4">G37+G38</f>
        <v>955944.00836513436</v>
      </c>
      <c r="H39" s="31">
        <f t="shared" ca="1" si="4"/>
        <v>1389634.1029094793</v>
      </c>
      <c r="I39" s="31">
        <f t="shared" ca="1" si="4"/>
        <v>1781932.1784781311</v>
      </c>
      <c r="J39" s="31">
        <f t="shared" ca="1" si="4"/>
        <v>1480558.6413914389</v>
      </c>
    </row>
    <row r="40" spans="2:10" x14ac:dyDescent="0.3">
      <c r="E40" s="57"/>
    </row>
    <row r="41" spans="2:10" x14ac:dyDescent="0.3">
      <c r="E41" s="5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7FC58-1256-469C-BDF9-34BFF2D9DD66}">
  <dimension ref="B1:R116"/>
  <sheetViews>
    <sheetView showGridLines="0" zoomScale="97" workbookViewId="0">
      <selection activeCell="G9" sqref="G9"/>
    </sheetView>
  </sheetViews>
  <sheetFormatPr defaultColWidth="9" defaultRowHeight="13" x14ac:dyDescent="0.3"/>
  <cols>
    <col min="1" max="1" width="9" style="15"/>
    <col min="2" max="2" width="36.81640625" style="15" bestFit="1" customWidth="1"/>
    <col min="3" max="3" width="12.7265625" style="15" bestFit="1" customWidth="1"/>
    <col min="4" max="6" width="9.26953125" style="15" bestFit="1" customWidth="1"/>
    <col min="7" max="7" width="11.7265625" style="15" bestFit="1" customWidth="1"/>
    <col min="8" max="10" width="9.7265625" style="15" bestFit="1" customWidth="1"/>
    <col min="11" max="11" width="9.26953125" style="15" bestFit="1" customWidth="1"/>
    <col min="12" max="16384" width="9" style="15"/>
  </cols>
  <sheetData>
    <row r="1" spans="2:14" s="1" customFormat="1" ht="15.5" x14ac:dyDescent="0.35">
      <c r="B1" s="2" t="str">
        <f>Intro!B1</f>
        <v>Crocs Inc (CROX)</v>
      </c>
    </row>
    <row r="2" spans="2:14" s="1" customFormat="1" ht="14.5" x14ac:dyDescent="0.35">
      <c r="B2" s="4" t="s">
        <v>118</v>
      </c>
    </row>
    <row r="3" spans="2:14" s="1" customFormat="1" ht="14.5" x14ac:dyDescent="0.35">
      <c r="B3" s="11" t="s">
        <v>4</v>
      </c>
    </row>
    <row r="5" spans="2:14" x14ac:dyDescent="0.3">
      <c r="D5" s="12" t="s">
        <v>5</v>
      </c>
      <c r="E5" s="12"/>
      <c r="F5" s="79"/>
      <c r="G5" s="13" t="s">
        <v>6</v>
      </c>
      <c r="H5" s="13"/>
      <c r="I5" s="13"/>
      <c r="J5" s="13"/>
      <c r="K5" s="13"/>
    </row>
    <row r="6" spans="2:14" x14ac:dyDescent="0.3">
      <c r="D6" s="14">
        <v>2022</v>
      </c>
      <c r="E6" s="14">
        <v>2023</v>
      </c>
      <c r="F6" s="80">
        <v>2024</v>
      </c>
      <c r="G6" s="14">
        <v>2025</v>
      </c>
      <c r="H6" s="14">
        <v>2026</v>
      </c>
      <c r="I6" s="14">
        <v>2027</v>
      </c>
      <c r="J6" s="14">
        <v>2028</v>
      </c>
      <c r="K6" s="14">
        <v>2029</v>
      </c>
    </row>
    <row r="7" spans="2:14" x14ac:dyDescent="0.3">
      <c r="B7" s="43" t="s">
        <v>119</v>
      </c>
      <c r="F7" s="57"/>
      <c r="G7" s="204">
        <f>'Balance Sheet'!E8</f>
        <v>180485</v>
      </c>
      <c r="H7" s="204">
        <f ca="1">'Balance Sheet'!F8</f>
        <v>455404.32923832035</v>
      </c>
      <c r="I7" s="204">
        <f ca="1">'Balance Sheet'!G8</f>
        <v>955944.00836513436</v>
      </c>
      <c r="J7" s="204">
        <f ca="1">'Balance Sheet'!H8</f>
        <v>1389634.1029094793</v>
      </c>
      <c r="K7" s="204">
        <f ca="1">'Balance Sheet'!I8</f>
        <v>1781932.1784781311</v>
      </c>
    </row>
    <row r="8" spans="2:14" x14ac:dyDescent="0.3">
      <c r="B8" s="44" t="s">
        <v>120</v>
      </c>
      <c r="F8" s="57"/>
      <c r="G8" s="31">
        <f>-($C$14*'Income Statement'!F7)</f>
        <v>-42251.712400000004</v>
      </c>
      <c r="H8" s="31">
        <f>-($C$14*'Income Statement'!G7)</f>
        <v>-43413.634491000012</v>
      </c>
      <c r="I8" s="31">
        <f>-($C$14*'Income Statement'!H7)</f>
        <v>-44498.975353275011</v>
      </c>
      <c r="J8" s="31">
        <f>-($C$14*'Income Statement'!I7)</f>
        <v>-45500.202298723692</v>
      </c>
      <c r="K8" s="31">
        <f>-($C$14*'Income Statement'!J7)</f>
        <v>-46410.206344698163</v>
      </c>
    </row>
    <row r="9" spans="2:14" x14ac:dyDescent="0.3">
      <c r="B9" s="44" t="s">
        <v>121</v>
      </c>
      <c r="F9" s="57"/>
      <c r="G9" s="122">
        <f ca="1">'Statement of Cash Flows'!F24</f>
        <v>709070.06971148204</v>
      </c>
      <c r="H9" s="122">
        <f ca="1">'Statement of Cash Flows'!G24</f>
        <v>892640.87961823272</v>
      </c>
      <c r="I9" s="122">
        <f ca="1">'Statement of Cash Flows'!H24</f>
        <v>938913.01285248285</v>
      </c>
      <c r="J9" s="122">
        <f ca="1">'Statement of Cash Flows'!I24</f>
        <v>981376.2485443264</v>
      </c>
      <c r="K9" s="122">
        <f ca="1">'Statement of Cash Flows'!J24</f>
        <v>1030005.2229009026</v>
      </c>
    </row>
    <row r="10" spans="2:14" x14ac:dyDescent="0.3">
      <c r="B10" s="44" t="s">
        <v>122</v>
      </c>
      <c r="F10" s="57"/>
      <c r="G10" s="122">
        <f>SUM('Statement of Cash Flows'!F29)</f>
        <v>-138590.82016751391</v>
      </c>
      <c r="H10" s="122">
        <f>SUM('Statement of Cash Flows'!G29)</f>
        <v>-165215.11265658741</v>
      </c>
      <c r="I10" s="122">
        <f>SUM('Statement of Cash Flows'!H29)</f>
        <v>-188443.37628572099</v>
      </c>
      <c r="J10" s="122">
        <f>SUM('Statement of Cash Flows'!I29)</f>
        <v>-204499.70690379501</v>
      </c>
      <c r="K10" s="122">
        <f>SUM('Statement of Cash Flows'!J29)</f>
        <v>-209823.16384368474</v>
      </c>
    </row>
    <row r="11" spans="2:14" x14ac:dyDescent="0.3">
      <c r="B11" s="44" t="s">
        <v>123</v>
      </c>
      <c r="F11" s="57"/>
      <c r="G11" s="212">
        <f>SUM(G64)</f>
        <v>-5000</v>
      </c>
      <c r="H11" s="212">
        <f t="shared" ref="H11:K11" si="0">SUM(H64)</f>
        <v>-5000</v>
      </c>
      <c r="I11" s="212">
        <f t="shared" si="0"/>
        <v>-5000</v>
      </c>
      <c r="J11" s="212">
        <f t="shared" si="0"/>
        <v>-5000</v>
      </c>
      <c r="K11" s="212">
        <f t="shared" si="0"/>
        <v>0</v>
      </c>
    </row>
    <row r="12" spans="2:14" ht="13.5" thickBot="1" x14ac:dyDescent="0.35">
      <c r="B12" s="45" t="s">
        <v>124</v>
      </c>
      <c r="C12" s="166"/>
      <c r="D12" s="166"/>
      <c r="E12" s="166"/>
      <c r="F12" s="167"/>
      <c r="G12" s="168">
        <f ca="1">SUM(G7:G11)</f>
        <v>703712.53714396816</v>
      </c>
      <c r="H12" s="168">
        <f ca="1">SUM(H7:H11)</f>
        <v>1134416.4617089655</v>
      </c>
      <c r="I12" s="168">
        <f ca="1">SUM(I7:I11)</f>
        <v>1656914.6695786212</v>
      </c>
      <c r="J12" s="168">
        <f ca="1">SUM(J7:J11)</f>
        <v>2116010.4422512874</v>
      </c>
      <c r="K12" s="168">
        <f ca="1">SUM(K7:K11)</f>
        <v>2555704.0311906505</v>
      </c>
      <c r="N12" s="202"/>
    </row>
    <row r="13" spans="2:14" ht="13.5" thickTop="1" x14ac:dyDescent="0.3">
      <c r="F13" s="57"/>
    </row>
    <row r="14" spans="2:14" x14ac:dyDescent="0.3">
      <c r="B14" s="184" t="s">
        <v>125</v>
      </c>
      <c r="C14" s="203">
        <v>0.01</v>
      </c>
      <c r="F14" s="57"/>
      <c r="G14" s="65">
        <f ca="1">SUM(G32,G46,G65,G80,G92,G68)</f>
        <v>1162471.2</v>
      </c>
    </row>
    <row r="15" spans="2:14" x14ac:dyDescent="0.3">
      <c r="F15" s="57"/>
    </row>
    <row r="16" spans="2:14" x14ac:dyDescent="0.3">
      <c r="B16" s="46"/>
      <c r="C16" s="46"/>
      <c r="D16" s="371" t="s">
        <v>5</v>
      </c>
      <c r="E16" s="371"/>
      <c r="F16" s="372"/>
      <c r="G16" s="373" t="s">
        <v>6</v>
      </c>
      <c r="H16" s="373"/>
      <c r="I16" s="373"/>
      <c r="J16" s="373"/>
      <c r="K16" s="373"/>
    </row>
    <row r="17" spans="2:13" x14ac:dyDescent="0.3">
      <c r="B17" s="47" t="s">
        <v>126</v>
      </c>
      <c r="C17" s="47"/>
      <c r="D17" s="189">
        <v>44926</v>
      </c>
      <c r="E17" s="189">
        <v>45291</v>
      </c>
      <c r="F17" s="189">
        <v>45657</v>
      </c>
      <c r="G17" s="189">
        <v>46022</v>
      </c>
      <c r="H17" s="189">
        <v>46387</v>
      </c>
      <c r="I17" s="189">
        <v>46752</v>
      </c>
      <c r="J17" s="189">
        <v>47118</v>
      </c>
      <c r="K17" s="189">
        <v>47483</v>
      </c>
    </row>
    <row r="18" spans="2:13" x14ac:dyDescent="0.3">
      <c r="F18" s="57"/>
    </row>
    <row r="19" spans="2:13" x14ac:dyDescent="0.3">
      <c r="B19" s="15" t="s">
        <v>127</v>
      </c>
      <c r="D19" s="214"/>
      <c r="E19" s="214"/>
      <c r="F19" s="215"/>
      <c r="G19" s="216">
        <v>4.3200000000000002E-2</v>
      </c>
      <c r="H19" s="216">
        <v>3.6400000000000002E-2</v>
      </c>
      <c r="I19" s="216">
        <v>2.9899999999999999E-2</v>
      </c>
      <c r="J19" s="216">
        <v>3.0700000000000002E-2</v>
      </c>
      <c r="K19" s="216">
        <v>3.2599999999999997E-2</v>
      </c>
    </row>
    <row r="20" spans="2:13" x14ac:dyDescent="0.3">
      <c r="F20" s="57"/>
    </row>
    <row r="21" spans="2:13" x14ac:dyDescent="0.3">
      <c r="B21" s="28" t="s">
        <v>128</v>
      </c>
      <c r="C21" s="28"/>
      <c r="F21" s="57"/>
    </row>
    <row r="22" spans="2:13" x14ac:dyDescent="0.3">
      <c r="B22" s="48" t="s">
        <v>129</v>
      </c>
      <c r="C22" s="229"/>
      <c r="D22" s="55"/>
      <c r="E22" s="55"/>
      <c r="F22" s="56"/>
      <c r="G22" s="55"/>
      <c r="H22" s="55"/>
      <c r="I22" s="55"/>
      <c r="J22" s="55"/>
      <c r="K22" s="56"/>
    </row>
    <row r="23" spans="2:13" ht="13.5" x14ac:dyDescent="0.35">
      <c r="B23" s="218" t="s">
        <v>130</v>
      </c>
      <c r="C23" s="228">
        <v>1.4749999999999999E-2</v>
      </c>
      <c r="F23" s="57"/>
      <c r="K23" s="57"/>
      <c r="M23" s="226"/>
    </row>
    <row r="24" spans="2:13" x14ac:dyDescent="0.3">
      <c r="B24" s="49" t="s">
        <v>131</v>
      </c>
      <c r="C24" s="222">
        <f>0.04356+0.01475</f>
        <v>5.8310000000000001E-2</v>
      </c>
      <c r="F24" s="57"/>
      <c r="K24" s="57"/>
      <c r="M24" s="227"/>
    </row>
    <row r="25" spans="2:13" x14ac:dyDescent="0.3">
      <c r="B25" s="49" t="s">
        <v>132</v>
      </c>
      <c r="C25" s="206">
        <v>46692</v>
      </c>
      <c r="F25" s="57"/>
      <c r="K25" s="57"/>
    </row>
    <row r="26" spans="2:13" x14ac:dyDescent="0.3">
      <c r="B26" s="49" t="s">
        <v>133</v>
      </c>
      <c r="C26" s="205">
        <v>1.5E-3</v>
      </c>
      <c r="F26" s="57"/>
      <c r="K26" s="57"/>
    </row>
    <row r="27" spans="2:13" x14ac:dyDescent="0.3">
      <c r="B27" s="49" t="s">
        <v>134</v>
      </c>
      <c r="C27" s="153">
        <v>1000000</v>
      </c>
      <c r="D27" s="58"/>
      <c r="E27" s="58"/>
      <c r="F27" s="59"/>
      <c r="G27" s="58"/>
      <c r="H27" s="58"/>
      <c r="I27" s="58"/>
      <c r="J27" s="58"/>
      <c r="K27" s="59"/>
    </row>
    <row r="28" spans="2:13" x14ac:dyDescent="0.3">
      <c r="B28" s="49" t="s">
        <v>135</v>
      </c>
      <c r="C28" s="153">
        <v>190000</v>
      </c>
      <c r="D28" s="58"/>
      <c r="E28" s="58"/>
      <c r="F28" s="59"/>
      <c r="G28" s="58"/>
      <c r="H28" s="58"/>
      <c r="I28" s="58"/>
      <c r="J28" s="58"/>
      <c r="K28" s="59"/>
    </row>
    <row r="29" spans="2:13" x14ac:dyDescent="0.3">
      <c r="B29" s="49"/>
      <c r="D29" s="58"/>
      <c r="E29" s="58"/>
      <c r="F29" s="59"/>
      <c r="G29" s="58"/>
      <c r="H29" s="58"/>
      <c r="I29" s="58"/>
      <c r="J29" s="58"/>
      <c r="K29" s="59"/>
    </row>
    <row r="30" spans="2:13" x14ac:dyDescent="0.3">
      <c r="B30" s="50" t="s">
        <v>136</v>
      </c>
      <c r="C30" s="60"/>
      <c r="D30" s="154"/>
      <c r="E30" s="154"/>
      <c r="F30" s="155"/>
      <c r="G30" s="156">
        <f>C28</f>
        <v>190000</v>
      </c>
      <c r="H30" s="156">
        <f ca="1">G32</f>
        <v>0</v>
      </c>
      <c r="I30" s="156">
        <f ca="1">H32</f>
        <v>0</v>
      </c>
      <c r="J30" s="156">
        <f ca="1">I32</f>
        <v>0</v>
      </c>
      <c r="K30" s="157">
        <f ca="1">J32</f>
        <v>0</v>
      </c>
    </row>
    <row r="31" spans="2:13" x14ac:dyDescent="0.3">
      <c r="B31" s="51" t="s">
        <v>137</v>
      </c>
      <c r="C31" s="44"/>
      <c r="D31" s="158"/>
      <c r="E31" s="158"/>
      <c r="F31" s="159"/>
      <c r="G31" s="161">
        <f ca="1">MIN(-MIN(G$12,G30),$C27-G30)</f>
        <v>-190000</v>
      </c>
      <c r="H31" s="160">
        <f ca="1">MIN(-MIN(H12,H30),$C$27-H30)</f>
        <v>0</v>
      </c>
      <c r="I31" s="160">
        <f ca="1">MIN(-MIN(I12,I30),$C$27-I30)</f>
        <v>0</v>
      </c>
      <c r="J31" s="160">
        <f ca="1">MIN(-MIN(J12,J30),$C$27-J30)</f>
        <v>0</v>
      </c>
      <c r="K31" s="197">
        <f ca="1">MIN(-MIN(K12,K30),$C$27-K30)</f>
        <v>0</v>
      </c>
    </row>
    <row r="32" spans="2:13" x14ac:dyDescent="0.3">
      <c r="B32" s="52" t="s">
        <v>138</v>
      </c>
      <c r="C32" s="46"/>
      <c r="D32" s="158"/>
      <c r="E32" s="158"/>
      <c r="F32" s="159"/>
      <c r="G32" s="161">
        <f ca="1">SUM(G30:G31)</f>
        <v>0</v>
      </c>
      <c r="H32" s="161">
        <f ca="1">SUM(H30:H31)</f>
        <v>0</v>
      </c>
      <c r="I32" s="161">
        <f ca="1">SUM(I30:I31)</f>
        <v>0</v>
      </c>
      <c r="J32" s="161">
        <f ca="1">SUM(J30:J31)</f>
        <v>0</v>
      </c>
      <c r="K32" s="59">
        <f ca="1">SUM(K30:K31)</f>
        <v>0</v>
      </c>
    </row>
    <row r="33" spans="2:11" x14ac:dyDescent="0.3">
      <c r="B33" s="51" t="s">
        <v>139</v>
      </c>
      <c r="C33" s="46"/>
      <c r="D33" s="158"/>
      <c r="E33" s="158"/>
      <c r="F33" s="159"/>
      <c r="G33" s="161">
        <f ca="1">($C$27-AVERAGE(G30,G32))*$C$26</f>
        <v>1357.5</v>
      </c>
      <c r="H33" s="161">
        <f ca="1">($C$27-AVERAGE(H30,H32))*$C$26</f>
        <v>1500</v>
      </c>
      <c r="I33" s="161">
        <f ca="1">($C$27-AVERAGE(I30,I32))*$C$26</f>
        <v>1500</v>
      </c>
      <c r="J33" s="161">
        <f ca="1">($C$27-AVERAGE(J30,J32))*$C$26</f>
        <v>1500</v>
      </c>
      <c r="K33" s="67">
        <f ca="1">($C$27-AVERAGE(K30,K32))*$C$26</f>
        <v>1500</v>
      </c>
    </row>
    <row r="34" spans="2:11" x14ac:dyDescent="0.3">
      <c r="B34" s="53" t="s">
        <v>14</v>
      </c>
      <c r="C34" s="68"/>
      <c r="D34" s="162"/>
      <c r="E34" s="162"/>
      <c r="F34" s="163"/>
      <c r="G34" s="164">
        <f ca="1">AVERAGE(G30,G32)*(G19+$C$23)</f>
        <v>5505.25</v>
      </c>
      <c r="H34" s="164">
        <f ca="1">AVERAGE(H30,H32)*(H19+$C$23)</f>
        <v>0</v>
      </c>
      <c r="I34" s="164">
        <f ca="1">AVERAGE(I30,I32)*(I19+$C$23)</f>
        <v>0</v>
      </c>
      <c r="J34" s="164">
        <f ca="1">AVERAGE(J30,J32)*(J19+$C$23)</f>
        <v>0</v>
      </c>
      <c r="K34" s="165">
        <f ca="1">AVERAGE(K30,K32)*(K19+$C$23)</f>
        <v>0</v>
      </c>
    </row>
    <row r="35" spans="2:11" x14ac:dyDescent="0.3">
      <c r="F35" s="57"/>
    </row>
    <row r="36" spans="2:11" x14ac:dyDescent="0.3">
      <c r="F36" s="57"/>
    </row>
    <row r="37" spans="2:11" x14ac:dyDescent="0.3">
      <c r="F37" s="57"/>
    </row>
    <row r="38" spans="2:11" x14ac:dyDescent="0.3">
      <c r="B38" s="28" t="s">
        <v>140</v>
      </c>
      <c r="C38" s="28"/>
      <c r="F38" s="57"/>
    </row>
    <row r="39" spans="2:11" x14ac:dyDescent="0.3">
      <c r="B39" s="48" t="s">
        <v>131</v>
      </c>
      <c r="C39" s="225">
        <f>C24</f>
        <v>5.8310000000000001E-2</v>
      </c>
      <c r="D39" s="54"/>
      <c r="E39" s="55"/>
      <c r="F39" s="56"/>
      <c r="G39" s="55"/>
      <c r="H39" s="55"/>
      <c r="I39" s="55"/>
      <c r="J39" s="55"/>
      <c r="K39" s="56"/>
    </row>
    <row r="40" spans="2:11" x14ac:dyDescent="0.3">
      <c r="B40" s="49" t="s">
        <v>132</v>
      </c>
      <c r="C40" s="206">
        <v>47192</v>
      </c>
      <c r="F40" s="57"/>
      <c r="K40" s="57"/>
    </row>
    <row r="41" spans="2:11" x14ac:dyDescent="0.3">
      <c r="B41" s="49" t="s">
        <v>133</v>
      </c>
      <c r="C41" s="205">
        <f>C26</f>
        <v>1.5E-3</v>
      </c>
      <c r="F41" s="57"/>
      <c r="K41" s="57"/>
    </row>
    <row r="42" spans="2:11" x14ac:dyDescent="0.3">
      <c r="B42" s="49" t="s">
        <v>134</v>
      </c>
      <c r="C42" s="72">
        <v>15000</v>
      </c>
      <c r="F42" s="57"/>
      <c r="K42" s="57"/>
    </row>
    <row r="43" spans="2:11" x14ac:dyDescent="0.3">
      <c r="B43" s="49"/>
      <c r="D43" s="58"/>
      <c r="E43" s="58"/>
      <c r="F43" s="59"/>
      <c r="G43" s="58"/>
      <c r="H43" s="58"/>
      <c r="I43" s="58"/>
      <c r="J43" s="58"/>
      <c r="K43" s="59"/>
    </row>
    <row r="44" spans="2:11" x14ac:dyDescent="0.3">
      <c r="B44" s="50" t="s">
        <v>136</v>
      </c>
      <c r="C44" s="60"/>
      <c r="D44" s="61"/>
      <c r="E44" s="61"/>
      <c r="F44" s="142"/>
      <c r="G44" s="136">
        <v>0</v>
      </c>
      <c r="H44" s="63">
        <f ca="1">G46</f>
        <v>0</v>
      </c>
      <c r="I44" s="63">
        <f ca="1">H46</f>
        <v>0</v>
      </c>
      <c r="J44" s="63">
        <f ca="1">I46</f>
        <v>0</v>
      </c>
      <c r="K44" s="64">
        <f ca="1">J46</f>
        <v>0</v>
      </c>
    </row>
    <row r="45" spans="2:11" x14ac:dyDescent="0.3">
      <c r="B45" s="51" t="s">
        <v>137</v>
      </c>
      <c r="C45" s="46"/>
      <c r="D45" s="135"/>
      <c r="E45" s="135"/>
      <c r="F45" s="143"/>
      <c r="G45" s="161">
        <f ca="1">MIN(-MIN(G$12+G31,G44),$C42-G44)</f>
        <v>0</v>
      </c>
      <c r="H45" s="160">
        <f ca="1">MIN(-MIN(H$12,H44),$C42-H44)</f>
        <v>0</v>
      </c>
      <c r="I45" s="160">
        <f ca="1">MIN(-MIN(I$12,I44),$C42-I44)</f>
        <v>0</v>
      </c>
      <c r="J45" s="160">
        <f ca="1">MIN(-MIN(J$12,J44),$C42-J44)</f>
        <v>0</v>
      </c>
      <c r="K45" s="197">
        <f ca="1">MIN(-MIN(K$12,K44),$C42-K44)</f>
        <v>0</v>
      </c>
    </row>
    <row r="46" spans="2:11" x14ac:dyDescent="0.3">
      <c r="B46" s="52" t="s">
        <v>138</v>
      </c>
      <c r="C46" s="46"/>
      <c r="D46" s="135"/>
      <c r="E46" s="135"/>
      <c r="F46" s="143"/>
      <c r="G46" s="66">
        <f ca="1">G44-G45</f>
        <v>0</v>
      </c>
      <c r="H46" s="66">
        <f ca="1">H44-H45</f>
        <v>0</v>
      </c>
      <c r="I46" s="66">
        <f ca="1">I44-I45</f>
        <v>0</v>
      </c>
      <c r="J46" s="66">
        <f ca="1">J44-J45</f>
        <v>0</v>
      </c>
      <c r="K46" s="67">
        <f ca="1">K44-K45</f>
        <v>0</v>
      </c>
    </row>
    <row r="47" spans="2:11" x14ac:dyDescent="0.3">
      <c r="B47" s="52" t="s">
        <v>141</v>
      </c>
      <c r="C47" s="46"/>
      <c r="D47" s="135"/>
      <c r="E47" s="135"/>
      <c r="F47" s="143"/>
      <c r="G47" s="161">
        <f ca="1">($C$42-AVERAGE(G44,G46))*$C$26</f>
        <v>22.5</v>
      </c>
      <c r="H47" s="66">
        <f t="shared" ref="H47:K47" ca="1" si="1">($C$42-AVERAGE(H44,H46))*$C$26</f>
        <v>22.5</v>
      </c>
      <c r="I47" s="66">
        <f t="shared" ca="1" si="1"/>
        <v>22.5</v>
      </c>
      <c r="J47" s="66">
        <f t="shared" ca="1" si="1"/>
        <v>22.5</v>
      </c>
      <c r="K47" s="67">
        <f t="shared" ca="1" si="1"/>
        <v>22.5</v>
      </c>
    </row>
    <row r="48" spans="2:11" x14ac:dyDescent="0.3">
      <c r="B48" s="53" t="s">
        <v>14</v>
      </c>
      <c r="C48" s="68"/>
      <c r="D48" s="69"/>
      <c r="E48" s="69"/>
      <c r="F48" s="144"/>
      <c r="G48" s="70">
        <f ca="1">AVERAGE(G46, G44)*$C$39</f>
        <v>0</v>
      </c>
      <c r="H48" s="70">
        <f ca="1">AVERAGE(H46, H44)*$C$39</f>
        <v>0</v>
      </c>
      <c r="I48" s="70">
        <f ca="1">AVERAGE(I46, I44)*$C$39</f>
        <v>0</v>
      </c>
      <c r="J48" s="70">
        <f ca="1">AVERAGE(J46, J44)*$C$39</f>
        <v>0</v>
      </c>
      <c r="K48" s="71">
        <f ca="1">AVERAGE(K46, K44)*$C$39</f>
        <v>0</v>
      </c>
    </row>
    <row r="49" spans="2:11" x14ac:dyDescent="0.3">
      <c r="F49" s="57"/>
    </row>
    <row r="50" spans="2:11" x14ac:dyDescent="0.3">
      <c r="F50" s="57"/>
    </row>
    <row r="51" spans="2:11" x14ac:dyDescent="0.3">
      <c r="F51" s="57"/>
    </row>
    <row r="52" spans="2:11" x14ac:dyDescent="0.3">
      <c r="B52" s="28" t="s">
        <v>142</v>
      </c>
      <c r="C52" s="28"/>
      <c r="F52" s="57"/>
    </row>
    <row r="53" spans="2:11" x14ac:dyDescent="0.3">
      <c r="B53" s="28"/>
      <c r="C53" s="28"/>
      <c r="F53" s="57"/>
    </row>
    <row r="54" spans="2:11" x14ac:dyDescent="0.3">
      <c r="B54" s="48" t="s">
        <v>129</v>
      </c>
      <c r="C54" s="229"/>
      <c r="D54" s="54"/>
      <c r="E54" s="55"/>
      <c r="F54" s="56"/>
      <c r="G54" s="55"/>
      <c r="H54" s="55"/>
      <c r="I54" s="55"/>
      <c r="J54" s="55"/>
      <c r="K54" s="56"/>
    </row>
    <row r="55" spans="2:11" ht="13.5" x14ac:dyDescent="0.35">
      <c r="B55" s="218" t="s">
        <v>130</v>
      </c>
      <c r="C55" s="205">
        <v>2.2499999999999999E-2</v>
      </c>
      <c r="D55" s="220"/>
      <c r="F55" s="57"/>
      <c r="K55" s="57"/>
    </row>
    <row r="56" spans="2:11" x14ac:dyDescent="0.3">
      <c r="B56" s="49"/>
      <c r="C56" s="217"/>
      <c r="D56" s="220"/>
      <c r="F56" s="57"/>
      <c r="K56" s="57"/>
    </row>
    <row r="57" spans="2:11" x14ac:dyDescent="0.3">
      <c r="B57" s="49" t="s">
        <v>131</v>
      </c>
      <c r="C57" s="221">
        <f>0.04356+0.0225</f>
        <v>6.6060000000000008E-2</v>
      </c>
      <c r="D57" s="220"/>
      <c r="F57" s="57"/>
      <c r="K57" s="57"/>
    </row>
    <row r="58" spans="2:11" x14ac:dyDescent="0.3">
      <c r="B58" s="49" t="s">
        <v>132</v>
      </c>
      <c r="C58" s="206">
        <v>47166</v>
      </c>
      <c r="F58" s="57"/>
      <c r="K58" s="57"/>
    </row>
    <row r="59" spans="2:11" x14ac:dyDescent="0.3">
      <c r="B59" s="49" t="s">
        <v>134</v>
      </c>
      <c r="C59" s="72">
        <v>500000</v>
      </c>
      <c r="F59" s="57"/>
      <c r="K59" s="57"/>
    </row>
    <row r="60" spans="2:11" x14ac:dyDescent="0.3">
      <c r="B60" s="49" t="s">
        <v>143</v>
      </c>
      <c r="C60" s="213">
        <v>2.5000000000000001E-3</v>
      </c>
      <c r="D60" s="58"/>
      <c r="E60" s="58"/>
      <c r="F60" s="59"/>
      <c r="G60" s="58"/>
      <c r="H60" s="58"/>
      <c r="I60" s="58"/>
      <c r="J60" s="58"/>
      <c r="K60" s="59"/>
    </row>
    <row r="61" spans="2:11" x14ac:dyDescent="0.3">
      <c r="B61" s="49"/>
      <c r="C61" s="213"/>
      <c r="D61" s="58"/>
      <c r="E61" s="58"/>
      <c r="F61" s="59"/>
      <c r="G61" s="58"/>
      <c r="H61" s="58"/>
      <c r="I61" s="58"/>
      <c r="J61" s="58"/>
      <c r="K61" s="59"/>
    </row>
    <row r="62" spans="2:11" x14ac:dyDescent="0.3">
      <c r="B62" s="50" t="s">
        <v>136</v>
      </c>
      <c r="C62" s="60"/>
      <c r="D62" s="61"/>
      <c r="E62" s="61"/>
      <c r="F62" s="142"/>
      <c r="G62" s="62">
        <f>C59</f>
        <v>500000</v>
      </c>
      <c r="H62" s="63">
        <f>G65</f>
        <v>495000</v>
      </c>
      <c r="I62" s="63">
        <f>H65</f>
        <v>490000</v>
      </c>
      <c r="J62" s="63">
        <f>I65</f>
        <v>485000</v>
      </c>
      <c r="K62" s="64">
        <f>J65</f>
        <v>480000</v>
      </c>
    </row>
    <row r="63" spans="2:11" x14ac:dyDescent="0.3">
      <c r="B63" s="51" t="s">
        <v>144</v>
      </c>
      <c r="C63" s="46"/>
      <c r="D63" s="135"/>
      <c r="E63" s="135"/>
      <c r="F63" s="143"/>
      <c r="G63" s="65">
        <f>IF(AND(G17&gt;$C$58,F63=0),-G62,0)</f>
        <v>0</v>
      </c>
      <c r="H63" s="65">
        <f>IF(AND(H17&gt;$C$58,G63=0),-H62,0)</f>
        <v>0</v>
      </c>
      <c r="I63" s="65">
        <f>IF(AND(I17&gt;$C$58,H63=0),-I62,0)</f>
        <v>0</v>
      </c>
      <c r="J63" s="65">
        <f>IF(AND(J17&gt;$C$58,I63=0),-J62,0)</f>
        <v>0</v>
      </c>
      <c r="K63" s="67">
        <f>IF(AND(K17&gt;$C$58,J63=0),-K62,0)</f>
        <v>-480000</v>
      </c>
    </row>
    <row r="64" spans="2:11" x14ac:dyDescent="0.3">
      <c r="B64" s="51" t="s">
        <v>123</v>
      </c>
      <c r="C64" s="46"/>
      <c r="D64" s="135"/>
      <c r="E64" s="135"/>
      <c r="F64" s="143"/>
      <c r="G64" s="65">
        <f>-IF((G62+G63)&gt;0,($C$60*4)*$C$59,0)</f>
        <v>-5000</v>
      </c>
      <c r="H64" s="65">
        <f t="shared" ref="H64:K64" si="2">-IF((H62+H63)&gt;0,($C$60*4)*$C$59,0)</f>
        <v>-5000</v>
      </c>
      <c r="I64" s="65">
        <f t="shared" si="2"/>
        <v>-5000</v>
      </c>
      <c r="J64" s="65">
        <f t="shared" si="2"/>
        <v>-5000</v>
      </c>
      <c r="K64" s="67">
        <f t="shared" si="2"/>
        <v>0</v>
      </c>
    </row>
    <row r="65" spans="2:11" x14ac:dyDescent="0.3">
      <c r="B65" s="52" t="s">
        <v>138</v>
      </c>
      <c r="C65" s="46"/>
      <c r="D65" s="135"/>
      <c r="E65" s="135"/>
      <c r="F65" s="143"/>
      <c r="G65" s="66">
        <f>SUM(G62:G64)</f>
        <v>495000</v>
      </c>
      <c r="H65" s="66">
        <f t="shared" ref="H65:K65" si="3">SUM(H62:H64)</f>
        <v>490000</v>
      </c>
      <c r="I65" s="66">
        <f t="shared" si="3"/>
        <v>485000</v>
      </c>
      <c r="J65" s="66">
        <f t="shared" si="3"/>
        <v>480000</v>
      </c>
      <c r="K65" s="67">
        <f t="shared" si="3"/>
        <v>0</v>
      </c>
    </row>
    <row r="66" spans="2:11" x14ac:dyDescent="0.3">
      <c r="B66" s="50" t="s">
        <v>145</v>
      </c>
      <c r="C66" s="60"/>
      <c r="D66" s="61"/>
      <c r="E66" s="61"/>
      <c r="F66" s="142"/>
      <c r="G66" s="136">
        <v>-40661</v>
      </c>
      <c r="H66" s="62">
        <f>G66+G67</f>
        <v>-32528.799999999999</v>
      </c>
      <c r="I66" s="63">
        <f>H66+H67</f>
        <v>-24396.6</v>
      </c>
      <c r="J66" s="63">
        <f>I66+I67</f>
        <v>-16264.399999999998</v>
      </c>
      <c r="K66" s="64">
        <f>J66+J67</f>
        <v>-8132.199999999998</v>
      </c>
    </row>
    <row r="67" spans="2:11" x14ac:dyDescent="0.3">
      <c r="B67" s="51" t="s">
        <v>146</v>
      </c>
      <c r="C67" s="46"/>
      <c r="D67" s="135"/>
      <c r="E67" s="135"/>
      <c r="F67" s="143"/>
      <c r="G67" s="66">
        <f>-$G$66/5</f>
        <v>8132.2</v>
      </c>
      <c r="H67" s="66">
        <f>-$G$66/5</f>
        <v>8132.2</v>
      </c>
      <c r="I67" s="66">
        <f>-$G$66/5</f>
        <v>8132.2</v>
      </c>
      <c r="J67" s="66">
        <f>-$G$66/5</f>
        <v>8132.2</v>
      </c>
      <c r="K67" s="67">
        <f>-$G$66/5</f>
        <v>8132.2</v>
      </c>
    </row>
    <row r="68" spans="2:11" x14ac:dyDescent="0.3">
      <c r="B68" s="52" t="s">
        <v>147</v>
      </c>
      <c r="C68" s="46"/>
      <c r="D68" s="135"/>
      <c r="E68" s="135"/>
      <c r="F68" s="143"/>
      <c r="G68" s="66">
        <f>G66+G67</f>
        <v>-32528.799999999999</v>
      </c>
      <c r="H68" s="66">
        <f>H66+H67</f>
        <v>-24396.6</v>
      </c>
      <c r="I68" s="66">
        <f>I66+I67</f>
        <v>-16264.399999999998</v>
      </c>
      <c r="J68" s="66">
        <f>J66+J67</f>
        <v>-8132.199999999998</v>
      </c>
      <c r="K68" s="71">
        <f>K66+K67</f>
        <v>0</v>
      </c>
    </row>
    <row r="69" spans="2:11" x14ac:dyDescent="0.3">
      <c r="B69" s="137" t="s">
        <v>14</v>
      </c>
      <c r="C69" s="138"/>
      <c r="D69" s="139"/>
      <c r="E69" s="139"/>
      <c r="F69" s="145"/>
      <c r="G69" s="140">
        <f>AVERAGE(G65, G62)*IF(G19&gt;0.5%,G19+$C$55,2.75%)</f>
        <v>32685.750000000004</v>
      </c>
      <c r="H69" s="140">
        <f>AVERAGE(H65, H62)*IF(H19&gt;0.5%,H19+$C$55,2.75%)</f>
        <v>29008.25</v>
      </c>
      <c r="I69" s="140">
        <f>AVERAGE(I65, I62)*IF(I19&gt;0.5%,I19+$C$55,2.75%)</f>
        <v>25545</v>
      </c>
      <c r="J69" s="140">
        <f>AVERAGE(J65, J62)*IF(J19&gt;0.5%,J19+$C$55,2.75%)</f>
        <v>25669</v>
      </c>
      <c r="K69" s="141">
        <f>AVERAGE(K65, K62)*IF(K19&gt;0.5%,K19+$C$55,2.75%)</f>
        <v>13223.999999999998</v>
      </c>
    </row>
    <row r="70" spans="2:11" x14ac:dyDescent="0.3">
      <c r="F70" s="57"/>
    </row>
    <row r="71" spans="2:11" x14ac:dyDescent="0.3">
      <c r="F71" s="57"/>
    </row>
    <row r="72" spans="2:11" x14ac:dyDescent="0.3">
      <c r="F72" s="57"/>
    </row>
    <row r="73" spans="2:11" x14ac:dyDescent="0.3">
      <c r="B73" s="28" t="s">
        <v>148</v>
      </c>
      <c r="C73" s="28"/>
      <c r="F73" s="57"/>
    </row>
    <row r="74" spans="2:11" x14ac:dyDescent="0.3">
      <c r="B74" s="48" t="s">
        <v>131</v>
      </c>
      <c r="C74" s="73">
        <v>4.2500000000000003E-2</v>
      </c>
      <c r="D74" s="54"/>
      <c r="E74" s="55"/>
      <c r="F74" s="56"/>
      <c r="G74" s="55"/>
      <c r="H74" s="55"/>
      <c r="I74" s="55"/>
      <c r="J74" s="55"/>
      <c r="K74" s="56"/>
    </row>
    <row r="75" spans="2:11" x14ac:dyDescent="0.3">
      <c r="B75" s="49" t="s">
        <v>132</v>
      </c>
      <c r="C75" s="206">
        <v>47192</v>
      </c>
      <c r="F75" s="57"/>
      <c r="K75" s="57"/>
    </row>
    <row r="76" spans="2:11" x14ac:dyDescent="0.3">
      <c r="B76" s="49" t="s">
        <v>134</v>
      </c>
      <c r="C76" s="72">
        <v>350000</v>
      </c>
      <c r="F76" s="57"/>
      <c r="K76" s="57"/>
    </row>
    <row r="77" spans="2:11" x14ac:dyDescent="0.3">
      <c r="B77" s="49"/>
      <c r="D77" s="58"/>
      <c r="E77" s="58"/>
      <c r="F77" s="59"/>
      <c r="G77" s="58"/>
      <c r="H77" s="58"/>
      <c r="I77" s="58"/>
      <c r="J77" s="58"/>
      <c r="K77" s="59"/>
    </row>
    <row r="78" spans="2:11" x14ac:dyDescent="0.3">
      <c r="B78" s="50" t="s">
        <v>136</v>
      </c>
      <c r="C78" s="60"/>
      <c r="D78" s="61"/>
      <c r="E78" s="61"/>
      <c r="F78" s="142"/>
      <c r="G78" s="62">
        <f>C76</f>
        <v>350000</v>
      </c>
      <c r="H78" s="63">
        <f>G80</f>
        <v>350000</v>
      </c>
      <c r="I78" s="63">
        <f>H80</f>
        <v>350000</v>
      </c>
      <c r="J78" s="63">
        <f>I80</f>
        <v>350000</v>
      </c>
      <c r="K78" s="64">
        <f>J80</f>
        <v>350000</v>
      </c>
    </row>
    <row r="79" spans="2:11" x14ac:dyDescent="0.3">
      <c r="B79" s="51" t="s">
        <v>149</v>
      </c>
      <c r="C79" s="46"/>
      <c r="D79" s="135"/>
      <c r="E79" s="135"/>
      <c r="F79" s="143"/>
      <c r="G79" s="65">
        <f>IF(AND(G17&gt;$C$75,F79=0),-G78,0)</f>
        <v>0</v>
      </c>
      <c r="H79" s="65">
        <f>IF(AND(H17&gt;$C$75,G79=0),-H78,0)</f>
        <v>0</v>
      </c>
      <c r="I79" s="58">
        <f>IF(AND(I17&gt;$C$75,H79=0),-I78,0)</f>
        <v>0</v>
      </c>
      <c r="J79" s="58">
        <f>IF(AND(J17&gt;$C$75,I79=0),-J78,0)</f>
        <v>0</v>
      </c>
      <c r="K79" s="67">
        <f>IF(AND(K17&gt;$C$75,J79=0),-K78,0)</f>
        <v>-350000</v>
      </c>
    </row>
    <row r="80" spans="2:11" x14ac:dyDescent="0.3">
      <c r="B80" s="52" t="s">
        <v>138</v>
      </c>
      <c r="C80" s="46"/>
      <c r="D80" s="135"/>
      <c r="E80" s="135"/>
      <c r="F80" s="143"/>
      <c r="G80" s="66">
        <f>G78+G79</f>
        <v>350000</v>
      </c>
      <c r="H80" s="66">
        <f>H78+H79</f>
        <v>350000</v>
      </c>
      <c r="I80" s="66">
        <f>I78+I79</f>
        <v>350000</v>
      </c>
      <c r="J80" s="66">
        <f>J78+J79</f>
        <v>350000</v>
      </c>
      <c r="K80" s="67">
        <f>K78+K79</f>
        <v>0</v>
      </c>
    </row>
    <row r="81" spans="2:11" x14ac:dyDescent="0.3">
      <c r="B81" s="53" t="s">
        <v>14</v>
      </c>
      <c r="C81" s="68"/>
      <c r="D81" s="69"/>
      <c r="E81" s="69"/>
      <c r="F81" s="144"/>
      <c r="G81" s="70">
        <f>AVERAGE(G80, G78)*$C$74</f>
        <v>14875.000000000002</v>
      </c>
      <c r="H81" s="70">
        <f>AVERAGE(H80, H78)*$C$74</f>
        <v>14875.000000000002</v>
      </c>
      <c r="I81" s="70">
        <f>AVERAGE(I80, I78)*$C$74</f>
        <v>14875.000000000002</v>
      </c>
      <c r="J81" s="70">
        <f>AVERAGE(J80, J78)*$C$74</f>
        <v>14875.000000000002</v>
      </c>
      <c r="K81" s="71">
        <f>AVERAGE(K80, K78)*$C$74</f>
        <v>7437.5000000000009</v>
      </c>
    </row>
    <row r="82" spans="2:11" x14ac:dyDescent="0.3">
      <c r="F82" s="57"/>
    </row>
    <row r="83" spans="2:11" x14ac:dyDescent="0.3">
      <c r="F83" s="57"/>
    </row>
    <row r="84" spans="2:11" x14ac:dyDescent="0.3">
      <c r="F84" s="57"/>
    </row>
    <row r="85" spans="2:11" x14ac:dyDescent="0.3">
      <c r="B85" s="28" t="s">
        <v>150</v>
      </c>
      <c r="C85" s="28"/>
      <c r="F85" s="57"/>
    </row>
    <row r="86" spans="2:11" x14ac:dyDescent="0.3">
      <c r="B86" s="48" t="s">
        <v>131</v>
      </c>
      <c r="C86" s="74">
        <v>4.1250000000000002E-2</v>
      </c>
      <c r="D86" s="54"/>
      <c r="E86" s="55"/>
      <c r="F86" s="56"/>
      <c r="G86" s="55"/>
      <c r="H86" s="55"/>
      <c r="I86" s="55"/>
      <c r="J86" s="55"/>
      <c r="K86" s="56"/>
    </row>
    <row r="87" spans="2:11" x14ac:dyDescent="0.3">
      <c r="B87" s="49" t="s">
        <v>132</v>
      </c>
      <c r="C87" s="206">
        <v>47922</v>
      </c>
      <c r="F87" s="57"/>
      <c r="K87" s="57"/>
    </row>
    <row r="88" spans="2:11" x14ac:dyDescent="0.3">
      <c r="B88" s="49" t="s">
        <v>134</v>
      </c>
      <c r="C88" s="72">
        <v>350000</v>
      </c>
      <c r="F88" s="57"/>
      <c r="K88" s="57"/>
    </row>
    <row r="89" spans="2:11" x14ac:dyDescent="0.3">
      <c r="B89" s="49"/>
      <c r="D89" s="58"/>
      <c r="E89" s="58"/>
      <c r="F89" s="59"/>
      <c r="G89" s="58"/>
      <c r="H89" s="58"/>
      <c r="I89" s="58"/>
      <c r="J89" s="58"/>
      <c r="K89" s="59"/>
    </row>
    <row r="90" spans="2:11" x14ac:dyDescent="0.3">
      <c r="B90" s="50" t="s">
        <v>136</v>
      </c>
      <c r="C90" s="60"/>
      <c r="D90" s="61"/>
      <c r="E90" s="61"/>
      <c r="F90" s="142"/>
      <c r="G90" s="62">
        <f>C88</f>
        <v>350000</v>
      </c>
      <c r="H90" s="63">
        <f>G92</f>
        <v>350000</v>
      </c>
      <c r="I90" s="63">
        <f>H92</f>
        <v>350000</v>
      </c>
      <c r="J90" s="63">
        <f>I92</f>
        <v>350000</v>
      </c>
      <c r="K90" s="64">
        <f>J92</f>
        <v>350000</v>
      </c>
    </row>
    <row r="91" spans="2:11" x14ac:dyDescent="0.3">
      <c r="B91" s="51" t="s">
        <v>149</v>
      </c>
      <c r="C91" s="46"/>
      <c r="D91" s="135"/>
      <c r="E91" s="135"/>
      <c r="F91" s="143"/>
      <c r="G91" s="65">
        <f>IF(AND(G17&gt;$C$87,F91=0),-G90,0)</f>
        <v>0</v>
      </c>
      <c r="H91" s="65">
        <f>IF(AND(H17&gt;$C$87,G91=0),-H90,0)</f>
        <v>0</v>
      </c>
      <c r="I91" s="58">
        <f>IF(AND(I17&gt;$C$87,H91=0),-I90,0)</f>
        <v>0</v>
      </c>
      <c r="J91" s="58">
        <f>IF(AND(J17&gt;$C$87,I91=0),-J90,0)</f>
        <v>0</v>
      </c>
      <c r="K91" s="59">
        <f>IF(AND(K17&gt;$C$87,J91=0),-K90,0)</f>
        <v>0</v>
      </c>
    </row>
    <row r="92" spans="2:11" x14ac:dyDescent="0.3">
      <c r="B92" s="52" t="s">
        <v>138</v>
      </c>
      <c r="C92" s="46"/>
      <c r="D92" s="135"/>
      <c r="E92" s="135"/>
      <c r="F92" s="143"/>
      <c r="G92" s="66">
        <f>G90+G91</f>
        <v>350000</v>
      </c>
      <c r="H92" s="66">
        <f>H90+H91</f>
        <v>350000</v>
      </c>
      <c r="I92" s="66">
        <f>I90+I91</f>
        <v>350000</v>
      </c>
      <c r="J92" s="66">
        <f>J90+J91</f>
        <v>350000</v>
      </c>
      <c r="K92" s="67">
        <f>K90+K91</f>
        <v>350000</v>
      </c>
    </row>
    <row r="93" spans="2:11" x14ac:dyDescent="0.3">
      <c r="B93" s="53" t="s">
        <v>14</v>
      </c>
      <c r="C93" s="68"/>
      <c r="D93" s="69"/>
      <c r="E93" s="69"/>
      <c r="F93" s="144"/>
      <c r="G93" s="70">
        <f>AVERAGE(G92, G90)*$C$86</f>
        <v>14437.5</v>
      </c>
      <c r="H93" s="70">
        <f>AVERAGE(H92, H90)*$C$86</f>
        <v>14437.5</v>
      </c>
      <c r="I93" s="70">
        <f>AVERAGE(I92, I90)*$C$86</f>
        <v>14437.5</v>
      </c>
      <c r="J93" s="70">
        <f>AVERAGE(J92, J90)*$C$86</f>
        <v>14437.5</v>
      </c>
      <c r="K93" s="71">
        <f>AVERAGE(K92, K90)*$C$86</f>
        <v>14437.5</v>
      </c>
    </row>
    <row r="94" spans="2:11" x14ac:dyDescent="0.3">
      <c r="F94" s="57"/>
    </row>
    <row r="95" spans="2:11" x14ac:dyDescent="0.3">
      <c r="F95" s="57"/>
    </row>
    <row r="96" spans="2:11" x14ac:dyDescent="0.3">
      <c r="B96" s="28" t="s">
        <v>151</v>
      </c>
      <c r="F96" s="57"/>
    </row>
    <row r="97" spans="2:18" x14ac:dyDescent="0.3">
      <c r="B97" s="15" t="s">
        <v>152</v>
      </c>
      <c r="C97" s="135"/>
      <c r="D97" s="135"/>
      <c r="E97" s="135"/>
      <c r="F97" s="143"/>
      <c r="G97" s="65">
        <f>G67</f>
        <v>8132.2</v>
      </c>
      <c r="H97" s="65">
        <f>H67</f>
        <v>8132.2</v>
      </c>
      <c r="I97" s="65">
        <f>I67</f>
        <v>8132.2</v>
      </c>
      <c r="J97" s="65">
        <f>J67</f>
        <v>8132.2</v>
      </c>
      <c r="K97" s="65">
        <f>K67</f>
        <v>8132.2</v>
      </c>
    </row>
    <row r="98" spans="2:18" x14ac:dyDescent="0.3">
      <c r="B98" s="169" t="s">
        <v>153</v>
      </c>
      <c r="C98" s="69"/>
      <c r="D98" s="69"/>
      <c r="E98" s="69"/>
      <c r="F98" s="144"/>
      <c r="G98" s="170">
        <f ca="1">(G31+G63+G45+G64+G79+G91)</f>
        <v>-195000</v>
      </c>
      <c r="H98" s="170">
        <f ca="1">(H31+H63+H45+H64+H79+H91)</f>
        <v>-5000</v>
      </c>
      <c r="I98" s="170">
        <f ca="1">(I31+I63+I45+I64+I79+I91)</f>
        <v>-5000</v>
      </c>
      <c r="J98" s="170">
        <f ca="1">(J31+J63+J45+J64+J79+J91)</f>
        <v>-5000</v>
      </c>
      <c r="K98" s="170">
        <f ca="1">(K31+K63+K45+K64+K79+K91)</f>
        <v>-830000</v>
      </c>
    </row>
    <row r="99" spans="2:18" x14ac:dyDescent="0.3">
      <c r="B99" s="15" t="s">
        <v>154</v>
      </c>
      <c r="F99" s="57"/>
      <c r="G99" s="65">
        <f ca="1">SUM(G97:G98)</f>
        <v>-186867.8</v>
      </c>
      <c r="H99" s="65">
        <f t="shared" ref="H99:K99" ca="1" si="4">SUM(H97:H98)</f>
        <v>3132.2</v>
      </c>
      <c r="I99" s="65">
        <f t="shared" ca="1" si="4"/>
        <v>3132.2</v>
      </c>
      <c r="J99" s="65">
        <f t="shared" ca="1" si="4"/>
        <v>3132.2</v>
      </c>
      <c r="K99" s="65">
        <f t="shared" ca="1" si="4"/>
        <v>-821867.8</v>
      </c>
      <c r="N99" s="65"/>
      <c r="O99" s="65"/>
      <c r="P99" s="65"/>
      <c r="Q99" s="65"/>
      <c r="R99" s="65"/>
    </row>
    <row r="100" spans="2:18" x14ac:dyDescent="0.3">
      <c r="F100" s="57"/>
      <c r="G100" s="65"/>
      <c r="H100" s="65"/>
      <c r="I100" s="65"/>
      <c r="J100" s="65"/>
      <c r="K100" s="65"/>
      <c r="N100" s="65"/>
      <c r="O100" s="65"/>
      <c r="P100" s="65"/>
      <c r="Q100" s="65"/>
      <c r="R100" s="65"/>
    </row>
    <row r="101" spans="2:18" x14ac:dyDescent="0.3">
      <c r="B101" s="15" t="s">
        <v>155</v>
      </c>
      <c r="F101" s="57"/>
      <c r="G101" s="65">
        <f ca="1">SUM(G34,G33,G47,G69,G81,G93,G67)</f>
        <v>77015.7</v>
      </c>
      <c r="H101" s="65">
        <f ca="1">SUM(H34,H33,H47,H69,H81,H93,H67)</f>
        <v>67975.45</v>
      </c>
      <c r="I101" s="65">
        <f ca="1">SUM(I34,I33,I47,I69,I81,I93,I67)</f>
        <v>64512.2</v>
      </c>
      <c r="J101" s="65">
        <f ca="1">SUM(J34,J33,J47,J69,J81,J93,J67)</f>
        <v>64636.2</v>
      </c>
      <c r="K101" s="65">
        <f ca="1">SUM(K34,K33,K47,K69,K81,K93,K67)</f>
        <v>44753.7</v>
      </c>
      <c r="N101" s="65"/>
      <c r="O101" s="65"/>
      <c r="P101" s="65"/>
      <c r="Q101" s="65"/>
      <c r="R101" s="65"/>
    </row>
    <row r="102" spans="2:18" x14ac:dyDescent="0.3">
      <c r="F102" s="57"/>
    </row>
    <row r="103" spans="2:18" x14ac:dyDescent="0.3">
      <c r="B103" s="46"/>
      <c r="C103" s="46"/>
      <c r="D103" s="371" t="s">
        <v>5</v>
      </c>
      <c r="E103" s="371"/>
      <c r="F103" s="372"/>
      <c r="G103" s="373" t="s">
        <v>6</v>
      </c>
      <c r="H103" s="373"/>
      <c r="I103" s="373"/>
      <c r="J103" s="373"/>
      <c r="K103" s="373"/>
      <c r="N103" s="65"/>
      <c r="O103" s="65"/>
      <c r="P103" s="65"/>
      <c r="Q103" s="65"/>
      <c r="R103" s="65"/>
    </row>
    <row r="104" spans="2:18" x14ac:dyDescent="0.3">
      <c r="B104" s="47" t="s">
        <v>156</v>
      </c>
      <c r="C104" s="47"/>
      <c r="D104" s="14">
        <v>2022</v>
      </c>
      <c r="E104" s="14">
        <v>2023</v>
      </c>
      <c r="F104" s="80">
        <v>2024</v>
      </c>
      <c r="G104" s="14">
        <v>2025</v>
      </c>
      <c r="H104" s="14">
        <v>2026</v>
      </c>
      <c r="I104" s="14">
        <v>2027</v>
      </c>
      <c r="J104" s="14">
        <v>2028</v>
      </c>
      <c r="K104" s="14">
        <v>2029</v>
      </c>
      <c r="M104" s="17" t="s">
        <v>23</v>
      </c>
    </row>
    <row r="105" spans="2:18" x14ac:dyDescent="0.3">
      <c r="B105" s="50" t="s">
        <v>157</v>
      </c>
      <c r="C105" s="55"/>
      <c r="D105" s="185"/>
      <c r="E105" s="185"/>
      <c r="F105" s="190"/>
      <c r="G105" s="126">
        <f ca="1">IF(G12+G98&gt;0,G12+G98,0)</f>
        <v>508712.53714396816</v>
      </c>
      <c r="H105" s="126">
        <f ca="1">IF(H12+H98&gt;0,H12+H98,0)</f>
        <v>1129416.4617089655</v>
      </c>
      <c r="I105" s="126">
        <f ca="1">IF(I12+I98&gt;0,I12+I98,0)</f>
        <v>1651914.6695786212</v>
      </c>
      <c r="J105" s="126">
        <f ca="1">IF(J12+J98&gt;0,J12+J98,0)</f>
        <v>2111010.4422512874</v>
      </c>
      <c r="K105" s="64">
        <f ca="1">IF(K12+K98&gt;0,K12+K98,0)</f>
        <v>1725704.0311906505</v>
      </c>
      <c r="M105" s="208"/>
    </row>
    <row r="106" spans="2:18" x14ac:dyDescent="0.3">
      <c r="B106" s="51" t="s">
        <v>158</v>
      </c>
      <c r="D106" s="187"/>
      <c r="E106" s="187"/>
      <c r="F106" s="191"/>
      <c r="G106" s="195">
        <v>0.21366117870000001</v>
      </c>
      <c r="H106" s="193">
        <f>G106+$M$106</f>
        <v>0.2036611787</v>
      </c>
      <c r="I106" s="193">
        <f>H106+$M$106</f>
        <v>0.19366117869999999</v>
      </c>
      <c r="J106" s="193">
        <f>I106+$M$106</f>
        <v>0.18366117869999998</v>
      </c>
      <c r="K106" s="194">
        <f>J106+$M$106</f>
        <v>0.17366117869999997</v>
      </c>
      <c r="L106" s="193"/>
      <c r="M106" s="22">
        <v>-0.01</v>
      </c>
    </row>
    <row r="107" spans="2:18" x14ac:dyDescent="0.3">
      <c r="B107" s="49" t="s">
        <v>159</v>
      </c>
      <c r="D107" s="187"/>
      <c r="E107" s="187"/>
      <c r="F107" s="191"/>
      <c r="G107" s="200">
        <f ca="1">-G105*G106</f>
        <v>-108692.12030564777</v>
      </c>
      <c r="H107" s="31">
        <f ca="1">-H105*H106</f>
        <v>-230018.28783483134</v>
      </c>
      <c r="I107" s="31">
        <f ca="1">-I105*I106</f>
        <v>-319911.74202241679</v>
      </c>
      <c r="J107" s="31">
        <f ca="1">-J105*J106</f>
        <v>-387710.66607187968</v>
      </c>
      <c r="K107" s="121">
        <f ca="1">-K105*K106</f>
        <v>-299687.79614390992</v>
      </c>
      <c r="M107" s="210"/>
    </row>
    <row r="108" spans="2:18" x14ac:dyDescent="0.3">
      <c r="B108" s="188" t="s">
        <v>160</v>
      </c>
      <c r="C108" s="169"/>
      <c r="D108" s="186"/>
      <c r="E108" s="186"/>
      <c r="F108" s="192"/>
      <c r="G108" s="123">
        <f ca="1">G105+G107</f>
        <v>400020.41683832038</v>
      </c>
      <c r="H108" s="123">
        <f ca="1">H105+H107</f>
        <v>899398.1738741342</v>
      </c>
      <c r="I108" s="123">
        <f ca="1">I105+I107</f>
        <v>1332002.9275562044</v>
      </c>
      <c r="J108" s="123">
        <f ca="1">J105+J107</f>
        <v>1723299.7761794077</v>
      </c>
      <c r="K108" s="124">
        <f ca="1">K105+K107</f>
        <v>1426016.2350467406</v>
      </c>
      <c r="M108" s="209"/>
    </row>
    <row r="110" spans="2:18" x14ac:dyDescent="0.3">
      <c r="K110" s="31"/>
    </row>
    <row r="111" spans="2:18" x14ac:dyDescent="0.3">
      <c r="G111" s="199"/>
      <c r="H111" s="31"/>
    </row>
    <row r="112" spans="2:18" x14ac:dyDescent="0.3">
      <c r="H112" s="199"/>
    </row>
    <row r="113" spans="8:8" x14ac:dyDescent="0.3">
      <c r="H113" s="31"/>
    </row>
    <row r="116" spans="8:8" x14ac:dyDescent="0.3">
      <c r="H116" s="31"/>
    </row>
  </sheetData>
  <mergeCells count="4">
    <mergeCell ref="D16:F16"/>
    <mergeCell ref="G16:K16"/>
    <mergeCell ref="D103:F103"/>
    <mergeCell ref="G103:K10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0CC45-DCF1-4B3F-848B-1386C04CAD6F}">
  <dimension ref="B1:L26"/>
  <sheetViews>
    <sheetView showGridLines="0" workbookViewId="0">
      <selection activeCell="E14" sqref="E14"/>
    </sheetView>
  </sheetViews>
  <sheetFormatPr defaultColWidth="9" defaultRowHeight="13" x14ac:dyDescent="0.3"/>
  <cols>
    <col min="1" max="1" width="9" style="15"/>
    <col min="2" max="2" width="48.7265625" style="15" bestFit="1" customWidth="1"/>
    <col min="3" max="3" width="11.26953125" style="15" bestFit="1" customWidth="1"/>
    <col min="4" max="4" width="12.81640625" style="15" bestFit="1" customWidth="1"/>
    <col min="5" max="10" width="11.26953125" style="15" bestFit="1" customWidth="1"/>
    <col min="11" max="11" width="9" style="15"/>
    <col min="12" max="12" width="9" style="15" bestFit="1" customWidth="1"/>
    <col min="13" max="16384" width="9" style="15"/>
  </cols>
  <sheetData>
    <row r="1" spans="2:10" s="109" customFormat="1" ht="15.5" x14ac:dyDescent="0.35">
      <c r="B1" s="108" t="str">
        <f>Intro!B1</f>
        <v>Crocs Inc (CROX)</v>
      </c>
    </row>
    <row r="2" spans="2:10" s="109" customFormat="1" ht="14.5" x14ac:dyDescent="0.35">
      <c r="B2" s="110" t="s">
        <v>161</v>
      </c>
    </row>
    <row r="3" spans="2:10" s="109" customFormat="1" ht="14.5" x14ac:dyDescent="0.35">
      <c r="B3" s="111" t="s">
        <v>4</v>
      </c>
    </row>
    <row r="5" spans="2:10" x14ac:dyDescent="0.3">
      <c r="C5" s="12" t="s">
        <v>5</v>
      </c>
      <c r="D5" s="12"/>
      <c r="E5" s="79"/>
      <c r="F5" s="13" t="s">
        <v>6</v>
      </c>
      <c r="G5" s="13"/>
      <c r="H5" s="13"/>
      <c r="I5" s="13"/>
      <c r="J5" s="13"/>
    </row>
    <row r="6" spans="2:10" ht="13.5" thickBot="1" x14ac:dyDescent="0.35">
      <c r="C6" s="14">
        <v>2022</v>
      </c>
      <c r="D6" s="14">
        <v>2023</v>
      </c>
      <c r="E6" s="80">
        <v>2024</v>
      </c>
      <c r="F6" s="14">
        <v>2025</v>
      </c>
      <c r="G6" s="14">
        <v>2026</v>
      </c>
      <c r="H6" s="14">
        <v>2027</v>
      </c>
      <c r="I6" s="14">
        <v>2028</v>
      </c>
      <c r="J6" s="14">
        <v>2029</v>
      </c>
    </row>
    <row r="7" spans="2:10" x14ac:dyDescent="0.3">
      <c r="B7" s="171" t="s">
        <v>162</v>
      </c>
      <c r="C7" s="81">
        <v>108398</v>
      </c>
      <c r="D7" s="81">
        <v>181529</v>
      </c>
      <c r="E7" s="97">
        <v>238315</v>
      </c>
      <c r="F7" s="82">
        <f>E11</f>
        <v>244335</v>
      </c>
      <c r="G7" s="82">
        <f t="shared" ref="G7:J7" si="0">F11</f>
        <v>326817.11202348792</v>
      </c>
      <c r="H7" s="82">
        <f t="shared" si="0"/>
        <v>420802.51195309754</v>
      </c>
      <c r="I7" s="82">
        <f t="shared" si="0"/>
        <v>520775.91631544626</v>
      </c>
      <c r="J7" s="83">
        <f t="shared" si="0"/>
        <v>618462.00280213461</v>
      </c>
    </row>
    <row r="8" spans="2:10" x14ac:dyDescent="0.3">
      <c r="B8" s="172" t="s">
        <v>163</v>
      </c>
      <c r="C8" s="93">
        <v>-19642</v>
      </c>
      <c r="D8" s="93">
        <v>-31685</v>
      </c>
      <c r="E8" s="98">
        <v>-46906</v>
      </c>
      <c r="F8" s="66">
        <f>F20*-F7</f>
        <v>-45004.165545677926</v>
      </c>
      <c r="G8" s="66">
        <f>G20*-G7</f>
        <v>-60196.580157019744</v>
      </c>
      <c r="H8" s="66">
        <f>H20*-H7</f>
        <v>-77507.790165037004</v>
      </c>
      <c r="I8" s="66">
        <f>I20*-I7</f>
        <v>-95921.933206713962</v>
      </c>
      <c r="J8" s="84">
        <f>J20*-J7</f>
        <v>-113914.77421498677</v>
      </c>
    </row>
    <row r="9" spans="2:10" x14ac:dyDescent="0.3">
      <c r="B9" s="172" t="s">
        <v>164</v>
      </c>
      <c r="C9" s="99">
        <v>104190</v>
      </c>
      <c r="D9" s="99">
        <v>115625</v>
      </c>
      <c r="E9" s="100">
        <v>69347</v>
      </c>
      <c r="F9" s="66">
        <f>F21*F7</f>
        <v>153859.33627475056</v>
      </c>
      <c r="G9" s="66">
        <f>G21*G7</f>
        <v>189458.00227495734</v>
      </c>
      <c r="H9" s="66">
        <f>H21*H7</f>
        <v>222901.82338201796</v>
      </c>
      <c r="I9" s="66">
        <f>I21*I7</f>
        <v>249819.58911015373</v>
      </c>
      <c r="J9" s="84">
        <f>J21*J7</f>
        <v>265757.13905644882</v>
      </c>
    </row>
    <row r="10" spans="2:10" ht="13.5" thickBot="1" x14ac:dyDescent="0.35">
      <c r="B10" s="173" t="s">
        <v>165</v>
      </c>
      <c r="C10" s="85">
        <f>C11-SUM(C7:C9)</f>
        <v>-11417</v>
      </c>
      <c r="D10" s="85">
        <f>D11-SUM(D7:D9)</f>
        <v>-27154</v>
      </c>
      <c r="E10" s="101">
        <f>E11-SUM(E7:E9)</f>
        <v>-16421</v>
      </c>
      <c r="F10" s="85">
        <f>F7*F22</f>
        <v>-26373.058705584757</v>
      </c>
      <c r="G10" s="85">
        <f>G7*G22</f>
        <v>-35276.022188327981</v>
      </c>
      <c r="H10" s="85">
        <f>H7*H22</f>
        <v>-45420.628854632254</v>
      </c>
      <c r="I10" s="85">
        <f>I7*I22</f>
        <v>-56211.569416751423</v>
      </c>
      <c r="J10" s="134">
        <f>J7*J22</f>
        <v>-66755.621204797586</v>
      </c>
    </row>
    <row r="11" spans="2:10" ht="13.5" thickBot="1" x14ac:dyDescent="0.35">
      <c r="B11" s="174" t="s">
        <v>166</v>
      </c>
      <c r="C11" s="116">
        <f>'Balance Sheet'!C16</f>
        <v>181529</v>
      </c>
      <c r="D11" s="116">
        <f>'Balance Sheet'!D16</f>
        <v>238315</v>
      </c>
      <c r="E11" s="117">
        <f>'Balance Sheet'!E16</f>
        <v>244335</v>
      </c>
      <c r="F11" s="86">
        <f>SUM(F7:F10)</f>
        <v>326817.11202348792</v>
      </c>
      <c r="G11" s="86">
        <f t="shared" ref="G11:J11" si="1">SUM(G7:G10)</f>
        <v>420802.51195309754</v>
      </c>
      <c r="H11" s="86">
        <f t="shared" si="1"/>
        <v>520775.91631544626</v>
      </c>
      <c r="I11" s="86">
        <f t="shared" si="1"/>
        <v>618462.00280213461</v>
      </c>
      <c r="J11" s="88">
        <f t="shared" si="1"/>
        <v>703548.74643879896</v>
      </c>
    </row>
    <row r="12" spans="2:10" ht="13.5" thickBot="1" x14ac:dyDescent="0.35">
      <c r="B12" s="44"/>
      <c r="E12" s="102"/>
    </row>
    <row r="13" spans="2:10" x14ac:dyDescent="0.3">
      <c r="B13" s="171" t="s">
        <v>167</v>
      </c>
      <c r="C13" s="201">
        <v>28802</v>
      </c>
      <c r="D13" s="95">
        <f>C16</f>
        <v>1800167</v>
      </c>
      <c r="E13" s="103">
        <f t="shared" ref="E13:J13" si="2">D16</f>
        <v>1792562</v>
      </c>
      <c r="F13" s="82">
        <f t="shared" si="2"/>
        <v>1777080</v>
      </c>
      <c r="G13" s="82">
        <f t="shared" si="2"/>
        <v>1765652.1242340668</v>
      </c>
      <c r="H13" s="82">
        <f t="shared" si="2"/>
        <v>1754297.7377564725</v>
      </c>
      <c r="I13" s="82">
        <f t="shared" si="2"/>
        <v>1743016.3679793444</v>
      </c>
      <c r="J13" s="83">
        <f t="shared" si="2"/>
        <v>1731807.5453538822</v>
      </c>
    </row>
    <row r="14" spans="2:10" x14ac:dyDescent="0.3">
      <c r="B14" s="172" t="s">
        <v>168</v>
      </c>
      <c r="C14" s="93">
        <v>-19587</v>
      </c>
      <c r="D14" s="93">
        <v>-22619</v>
      </c>
      <c r="E14" s="98">
        <v>-22934</v>
      </c>
      <c r="F14" s="66">
        <f>F13*F23</f>
        <v>-22532.418364281366</v>
      </c>
      <c r="G14" s="66">
        <f>G13*G23</f>
        <v>-22387.519047552218</v>
      </c>
      <c r="H14" s="66">
        <f>H13*H23</f>
        <v>-22243.551535463343</v>
      </c>
      <c r="I14" s="66">
        <f>I13*I23</f>
        <v>-22100.509835854766</v>
      </c>
      <c r="J14" s="84">
        <f>J13*J23</f>
        <v>-21958.387995100307</v>
      </c>
    </row>
    <row r="15" spans="2:10" ht="13.5" thickBot="1" x14ac:dyDescent="0.35">
      <c r="B15" s="172" t="s">
        <v>169</v>
      </c>
      <c r="C15" s="132">
        <f>C16-SUM(C13:C14)</f>
        <v>1790952</v>
      </c>
      <c r="D15" s="132">
        <f>D16-SUM(D13:D14)</f>
        <v>15014</v>
      </c>
      <c r="E15" s="133">
        <f>E16-SUM(E13:E14)</f>
        <v>7452</v>
      </c>
      <c r="F15" s="132">
        <f>F13*F24</f>
        <v>11104.542598348122</v>
      </c>
      <c r="G15" s="132">
        <f>G13*G24</f>
        <v>11033.132569958047</v>
      </c>
      <c r="H15" s="132">
        <f>H13*H24</f>
        <v>10962.181758335299</v>
      </c>
      <c r="I15" s="132">
        <f>I13*I24</f>
        <v>10891.687210392698</v>
      </c>
      <c r="J15" s="134">
        <f>J13*J24</f>
        <v>10821.645992033495</v>
      </c>
    </row>
    <row r="16" spans="2:10" ht="13.5" thickBot="1" x14ac:dyDescent="0.35">
      <c r="B16" s="174" t="s">
        <v>170</v>
      </c>
      <c r="C16" s="118">
        <v>1800167</v>
      </c>
      <c r="D16" s="118">
        <v>1792562</v>
      </c>
      <c r="E16" s="119">
        <v>1777080</v>
      </c>
      <c r="F16" s="87">
        <f>SUM(F13:F15)</f>
        <v>1765652.1242340668</v>
      </c>
      <c r="G16" s="87">
        <f>SUM(G13:G15)</f>
        <v>1754297.7377564725</v>
      </c>
      <c r="H16" s="87">
        <f>SUM(H13:H15)</f>
        <v>1743016.3679793444</v>
      </c>
      <c r="I16" s="87">
        <f>SUM(I13:I15)</f>
        <v>1731807.5453538822</v>
      </c>
      <c r="J16" s="88">
        <f>SUM(J13:J15)</f>
        <v>1720670.8033508153</v>
      </c>
    </row>
    <row r="17" spans="2:12" x14ac:dyDescent="0.3">
      <c r="E17" s="57"/>
    </row>
    <row r="18" spans="2:12" x14ac:dyDescent="0.3">
      <c r="B18" s="89"/>
      <c r="C18" s="371" t="s">
        <v>5</v>
      </c>
      <c r="D18" s="371"/>
      <c r="E18" s="372"/>
      <c r="F18" s="90" t="s">
        <v>6</v>
      </c>
      <c r="G18" s="90"/>
      <c r="H18" s="90"/>
      <c r="I18" s="90"/>
      <c r="J18" s="90"/>
    </row>
    <row r="19" spans="2:12" ht="13.5" thickBot="1" x14ac:dyDescent="0.35">
      <c r="B19" s="16" t="s">
        <v>171</v>
      </c>
      <c r="C19" s="14">
        <v>2022</v>
      </c>
      <c r="D19" s="14">
        <v>2023</v>
      </c>
      <c r="E19" s="80">
        <v>2024</v>
      </c>
      <c r="F19" s="14">
        <v>2025</v>
      </c>
      <c r="G19" s="14">
        <v>2026</v>
      </c>
      <c r="H19" s="14">
        <v>2027</v>
      </c>
      <c r="I19" s="14">
        <v>2028</v>
      </c>
      <c r="J19" s="14">
        <v>2029</v>
      </c>
      <c r="L19" s="17" t="s">
        <v>23</v>
      </c>
    </row>
    <row r="20" spans="2:12" x14ac:dyDescent="0.3">
      <c r="B20" s="171" t="s">
        <v>172</v>
      </c>
      <c r="C20" s="104">
        <f>-C8/C7</f>
        <v>0.18120260521411835</v>
      </c>
      <c r="D20" s="104">
        <f>-D8/D7</f>
        <v>0.17454511400382308</v>
      </c>
      <c r="E20" s="105">
        <f>-E8/E7</f>
        <v>0.1968235318800747</v>
      </c>
      <c r="F20" s="91">
        <f>AVERAGE($C$20:$E$20)</f>
        <v>0.18419041703267205</v>
      </c>
      <c r="G20" s="91">
        <f>AVERAGE($C$20:$E$20)</f>
        <v>0.18419041703267205</v>
      </c>
      <c r="H20" s="91">
        <f>AVERAGE($C$20:$E$20)</f>
        <v>0.18419041703267205</v>
      </c>
      <c r="I20" s="91">
        <f>AVERAGE($C$20:$E$20)</f>
        <v>0.18419041703267205</v>
      </c>
      <c r="J20" s="92">
        <f>AVERAGE($C$20:$E$20)</f>
        <v>0.18419041703267205</v>
      </c>
      <c r="L20" s="208"/>
    </row>
    <row r="21" spans="2:12" x14ac:dyDescent="0.3">
      <c r="B21" s="172" t="s">
        <v>173</v>
      </c>
      <c r="C21" s="106">
        <f>C9/C7</f>
        <v>0.96118009557371908</v>
      </c>
      <c r="D21" s="106">
        <f>D9/D7</f>
        <v>0.63695056988139631</v>
      </c>
      <c r="E21" s="107">
        <f>E9/E7</f>
        <v>0.29098881732161214</v>
      </c>
      <c r="F21" s="114">
        <f>AVERAGE($C$21:$E$21)</f>
        <v>0.62970649425890912</v>
      </c>
      <c r="G21" s="114">
        <f>F21+$L$21</f>
        <v>0.57970649425890908</v>
      </c>
      <c r="H21" s="114">
        <f t="shared" ref="H21:J21" si="3">G21+$L$21</f>
        <v>0.52970649425890903</v>
      </c>
      <c r="I21" s="114">
        <f t="shared" si="3"/>
        <v>0.47970649425890904</v>
      </c>
      <c r="J21" s="115">
        <f t="shared" si="3"/>
        <v>0.42970649425890906</v>
      </c>
      <c r="L21" s="207">
        <v>-0.05</v>
      </c>
    </row>
    <row r="22" spans="2:12" x14ac:dyDescent="0.3">
      <c r="B22" s="172" t="s">
        <v>174</v>
      </c>
      <c r="C22" s="106">
        <f>C10/C7</f>
        <v>-0.10532482149117142</v>
      </c>
      <c r="D22" s="106">
        <f>D10/D7</f>
        <v>-0.14958491480700054</v>
      </c>
      <c r="E22" s="146">
        <f>E10/E7</f>
        <v>-6.8904601053227876E-2</v>
      </c>
      <c r="F22" s="114">
        <f>AVERAGE($C$22:$E$22)</f>
        <v>-0.1079381124504666</v>
      </c>
      <c r="G22" s="114">
        <f t="shared" ref="G22:J22" si="4">AVERAGE($C$22:$E$22)</f>
        <v>-0.1079381124504666</v>
      </c>
      <c r="H22" s="114">
        <f t="shared" si="4"/>
        <v>-0.1079381124504666</v>
      </c>
      <c r="I22" s="114">
        <f t="shared" si="4"/>
        <v>-0.1079381124504666</v>
      </c>
      <c r="J22" s="115">
        <f t="shared" si="4"/>
        <v>-0.1079381124504666</v>
      </c>
      <c r="L22" s="208"/>
    </row>
    <row r="23" spans="2:12" x14ac:dyDescent="0.3">
      <c r="B23" s="172" t="s">
        <v>175</v>
      </c>
      <c r="C23" s="19">
        <f>C14/C13</f>
        <v>-0.68005694049024368</v>
      </c>
      <c r="D23" s="112">
        <f>D14/D13</f>
        <v>-1.2564945363402396E-2</v>
      </c>
      <c r="E23" s="113">
        <f>E14/E13</f>
        <v>-1.2793978674098859E-2</v>
      </c>
      <c r="F23" s="21">
        <f>AVERAGE($D$23:$E$23)</f>
        <v>-1.2679462018750629E-2</v>
      </c>
      <c r="G23" s="21">
        <f>AVERAGE($D$23:$E$23)</f>
        <v>-1.2679462018750629E-2</v>
      </c>
      <c r="H23" s="21">
        <f>AVERAGE($D$23:$E$23)</f>
        <v>-1.2679462018750629E-2</v>
      </c>
      <c r="I23" s="21">
        <f>AVERAGE($D$23:$E$23)</f>
        <v>-1.2679462018750629E-2</v>
      </c>
      <c r="J23" s="115">
        <f>AVERAGE($D$23:$E$23)</f>
        <v>-1.2679462018750629E-2</v>
      </c>
      <c r="L23" s="208"/>
    </row>
    <row r="24" spans="2:12" ht="13.5" thickBot="1" x14ac:dyDescent="0.35">
      <c r="B24" s="173" t="s">
        <v>176</v>
      </c>
      <c r="C24" s="175">
        <f>C15/C13</f>
        <v>62.181515172557461</v>
      </c>
      <c r="D24" s="175">
        <f>D15/D13</f>
        <v>8.3403373131492806E-3</v>
      </c>
      <c r="E24" s="176">
        <f>E15/E13</f>
        <v>4.1571783849038415E-3</v>
      </c>
      <c r="F24" s="177">
        <f>AVERAGE($D$24:$E$24)</f>
        <v>6.2487578490265615E-3</v>
      </c>
      <c r="G24" s="177">
        <f>AVERAGE($D$24:$E$24)</f>
        <v>6.2487578490265615E-3</v>
      </c>
      <c r="H24" s="177">
        <f>AVERAGE($D$24:$E$24)</f>
        <v>6.2487578490265615E-3</v>
      </c>
      <c r="I24" s="177">
        <f>AVERAGE($D$24:$E$24)</f>
        <v>6.2487578490265615E-3</v>
      </c>
      <c r="J24" s="178">
        <f>AVERAGE($D$24:$E$24)</f>
        <v>6.2487578490265615E-3</v>
      </c>
      <c r="L24" s="209"/>
    </row>
    <row r="25" spans="2:12" x14ac:dyDescent="0.3">
      <c r="E25" s="57"/>
    </row>
    <row r="26" spans="2:12" x14ac:dyDescent="0.3">
      <c r="E26" s="57"/>
    </row>
  </sheetData>
  <mergeCells count="1">
    <mergeCell ref="C18:E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F3E24-9B52-49C1-98CB-436DB1F45A90}">
  <sheetPr>
    <tabColor theme="5" tint="0.39997558519241921"/>
  </sheetPr>
  <dimension ref="A1"/>
  <sheetViews>
    <sheetView showGridLines="0" workbookViewId="0">
      <selection activeCell="J58" sqref="J58"/>
    </sheetView>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EAED-E7AD-4A3E-815A-8EE040813D4B}">
  <dimension ref="B1:S29"/>
  <sheetViews>
    <sheetView showGridLines="0" topLeftCell="C1" zoomScale="92" workbookViewId="0">
      <selection activeCell="H20" sqref="H20"/>
    </sheetView>
  </sheetViews>
  <sheetFormatPr defaultRowHeight="14.5" x14ac:dyDescent="0.35"/>
  <cols>
    <col min="3" max="3" width="26.08984375" bestFit="1" customWidth="1"/>
    <col min="4" max="4" width="3" customWidth="1"/>
    <col min="5" max="5" width="3.453125" customWidth="1"/>
    <col min="6" max="7" width="14.81640625" bestFit="1" customWidth="1"/>
    <col min="9" max="9" width="31.08984375" bestFit="1" customWidth="1"/>
    <col min="10" max="10" width="5.54296875" customWidth="1"/>
    <col min="11" max="12" width="1.90625" customWidth="1"/>
    <col min="13" max="13" width="14.6328125" bestFit="1" customWidth="1"/>
    <col min="15" max="15" width="21.1796875" bestFit="1" customWidth="1"/>
    <col min="16" max="16" width="18.81640625" bestFit="1" customWidth="1"/>
    <col min="17" max="17" width="12.7265625" bestFit="1" customWidth="1"/>
    <col min="18" max="18" width="18" bestFit="1" customWidth="1"/>
    <col min="19" max="19" width="12.08984375" bestFit="1" customWidth="1"/>
  </cols>
  <sheetData>
    <row r="1" spans="2:19" s="109" customFormat="1" ht="15.5" x14ac:dyDescent="0.35">
      <c r="B1" s="108" t="str">
        <f>Intro!B1</f>
        <v>Crocs Inc (CROX)</v>
      </c>
    </row>
    <row r="2" spans="2:19" s="109" customFormat="1" x14ac:dyDescent="0.35">
      <c r="B2" s="110" t="s">
        <v>177</v>
      </c>
    </row>
    <row r="3" spans="2:19" s="109" customFormat="1" x14ac:dyDescent="0.35">
      <c r="B3" s="111" t="s">
        <v>4</v>
      </c>
    </row>
    <row r="5" spans="2:19" x14ac:dyDescent="0.35">
      <c r="B5" s="230"/>
      <c r="C5" s="230"/>
      <c r="D5" s="230"/>
      <c r="E5" s="230"/>
      <c r="F5" s="230"/>
      <c r="G5" s="230"/>
      <c r="H5" s="230"/>
      <c r="I5" s="230"/>
      <c r="J5" s="230"/>
      <c r="K5" s="230"/>
    </row>
    <row r="6" spans="2:19" x14ac:dyDescent="0.35">
      <c r="B6" s="230"/>
      <c r="C6" s="230"/>
      <c r="D6" s="230"/>
      <c r="E6" s="230"/>
      <c r="F6" s="230"/>
      <c r="G6" s="230"/>
      <c r="H6" s="230"/>
      <c r="I6" s="230"/>
      <c r="J6" s="230"/>
      <c r="K6" s="230"/>
    </row>
    <row r="7" spans="2:19" x14ac:dyDescent="0.35">
      <c r="B7" s="230"/>
      <c r="C7" s="374" t="s">
        <v>183</v>
      </c>
      <c r="D7" s="374"/>
      <c r="E7" s="374"/>
      <c r="F7" s="374"/>
      <c r="G7" s="374"/>
      <c r="H7" s="230"/>
      <c r="I7" s="374" t="s">
        <v>201</v>
      </c>
      <c r="J7" s="374"/>
      <c r="K7" s="374"/>
      <c r="L7" s="374"/>
      <c r="M7" s="374"/>
      <c r="O7" s="375" t="s">
        <v>210</v>
      </c>
      <c r="P7" s="375"/>
      <c r="Q7" s="375"/>
      <c r="R7" s="375"/>
      <c r="S7" s="375"/>
    </row>
    <row r="8" spans="2:19" x14ac:dyDescent="0.35">
      <c r="B8" s="230"/>
      <c r="C8" s="250" t="s">
        <v>184</v>
      </c>
      <c r="D8" s="251"/>
      <c r="E8" s="251"/>
      <c r="F8" s="256" t="s">
        <v>200</v>
      </c>
      <c r="G8" s="257" t="s">
        <v>199</v>
      </c>
      <c r="H8" s="230"/>
      <c r="I8" s="242" t="s">
        <v>202</v>
      </c>
      <c r="J8" s="240"/>
      <c r="K8" s="240"/>
      <c r="L8" s="258"/>
      <c r="M8" s="259"/>
      <c r="O8" s="263"/>
      <c r="P8" s="258"/>
      <c r="Q8" s="258"/>
      <c r="R8" s="258"/>
      <c r="S8" s="259"/>
    </row>
    <row r="9" spans="2:19" x14ac:dyDescent="0.35">
      <c r="B9" s="230"/>
      <c r="C9" s="243" t="s">
        <v>185</v>
      </c>
      <c r="F9" s="303">
        <v>0</v>
      </c>
      <c r="G9" s="364">
        <v>2</v>
      </c>
      <c r="H9" s="230"/>
      <c r="I9" s="244" t="s">
        <v>203</v>
      </c>
      <c r="J9" s="230"/>
      <c r="K9" s="230"/>
      <c r="M9" s="304">
        <v>11</v>
      </c>
      <c r="O9" s="243" t="s">
        <v>216</v>
      </c>
      <c r="S9" s="287">
        <v>59831</v>
      </c>
    </row>
    <row r="10" spans="2:19" x14ac:dyDescent="0.35">
      <c r="B10" s="230"/>
      <c r="C10" s="243" t="s">
        <v>186</v>
      </c>
      <c r="F10" s="300">
        <f t="shared" ref="F10:F12" si="0">$M$10*G10</f>
        <v>1910564.25</v>
      </c>
      <c r="G10" s="365">
        <v>1.75</v>
      </c>
      <c r="H10" s="230"/>
      <c r="I10" s="244" t="s">
        <v>204</v>
      </c>
      <c r="J10" s="230"/>
      <c r="K10" s="230"/>
      <c r="M10" s="370">
        <f>'Income Statement'!E12+(-'Asset Schedule'!E8)+(-'Asset Schedule'!E14)</f>
        <v>1091751</v>
      </c>
      <c r="O10" s="243" t="s">
        <v>217</v>
      </c>
      <c r="S10" s="283">
        <f ca="1">S24</f>
        <v>575.04093267749511</v>
      </c>
    </row>
    <row r="11" spans="2:19" x14ac:dyDescent="0.35">
      <c r="B11" s="230"/>
      <c r="C11" s="243" t="s">
        <v>142</v>
      </c>
      <c r="F11" s="300">
        <f>$M$10*G11</f>
        <v>1364688.75</v>
      </c>
      <c r="G11" s="365">
        <v>1.25</v>
      </c>
      <c r="H11" s="230"/>
      <c r="I11" s="245" t="s">
        <v>202</v>
      </c>
      <c r="J11" s="230"/>
      <c r="K11" s="230"/>
      <c r="M11" s="291">
        <f>M10*M9</f>
        <v>12009261</v>
      </c>
      <c r="O11" s="261" t="s">
        <v>210</v>
      </c>
      <c r="S11" s="286">
        <f ca="1">SUM(S9:S10)</f>
        <v>60406.040932677497</v>
      </c>
    </row>
    <row r="12" spans="2:19" x14ac:dyDescent="0.35">
      <c r="B12" s="230"/>
      <c r="C12" s="243" t="s">
        <v>187</v>
      </c>
      <c r="F12" s="300">
        <f t="shared" si="0"/>
        <v>927988.35</v>
      </c>
      <c r="G12" s="365">
        <v>0.85</v>
      </c>
      <c r="H12" s="230"/>
      <c r="I12" s="244"/>
      <c r="J12" s="230"/>
      <c r="K12" s="230"/>
      <c r="M12" s="248"/>
      <c r="O12" s="262" t="s">
        <v>218</v>
      </c>
      <c r="P12" s="241"/>
      <c r="Q12" s="241"/>
      <c r="R12" s="241"/>
      <c r="S12" s="305">
        <f ca="1">M21</f>
        <v>179.45898841610276</v>
      </c>
    </row>
    <row r="13" spans="2:19" x14ac:dyDescent="0.35">
      <c r="B13" s="230"/>
      <c r="C13" s="243" t="s">
        <v>188</v>
      </c>
      <c r="F13" s="300">
        <f>$M$10*G13</f>
        <v>545875.5</v>
      </c>
      <c r="G13" s="365">
        <v>0.5</v>
      </c>
      <c r="H13" s="230"/>
      <c r="I13" s="244" t="s">
        <v>205</v>
      </c>
      <c r="J13" s="230"/>
      <c r="K13" s="230"/>
      <c r="M13" s="370">
        <f>'Balance Sheet'!E8</f>
        <v>180485</v>
      </c>
    </row>
    <row r="14" spans="2:19" x14ac:dyDescent="0.35">
      <c r="B14" s="230"/>
      <c r="C14" s="243" t="s">
        <v>189</v>
      </c>
      <c r="F14" s="300">
        <f>G22-SUM(F15,F10:F13)</f>
        <v>7261949</v>
      </c>
      <c r="G14" s="298">
        <f>F14/M10</f>
        <v>6.6516531699993866</v>
      </c>
      <c r="H14" s="230"/>
      <c r="I14" s="244" t="s">
        <v>206</v>
      </c>
      <c r="J14" s="230"/>
      <c r="K14" s="230"/>
      <c r="M14" s="370">
        <f>'Balance Sheet'!E37</f>
        <v>1349339</v>
      </c>
    </row>
    <row r="15" spans="2:19" x14ac:dyDescent="0.35">
      <c r="B15" s="230"/>
      <c r="C15" s="244" t="s">
        <v>190</v>
      </c>
      <c r="D15" s="230"/>
      <c r="E15" s="230"/>
      <c r="F15" s="296">
        <f>M13-G24</f>
        <v>178680.15</v>
      </c>
      <c r="G15" s="299">
        <f>F15/M10</f>
        <v>0.16366382993924439</v>
      </c>
      <c r="H15" s="230"/>
      <c r="I15" s="244" t="s">
        <v>207</v>
      </c>
      <c r="J15" s="230"/>
      <c r="K15" s="230"/>
      <c r="M15" s="369">
        <v>0</v>
      </c>
      <c r="O15" s="375" t="s">
        <v>219</v>
      </c>
      <c r="P15" s="375"/>
      <c r="Q15" s="375"/>
      <c r="R15" s="375"/>
      <c r="S15" s="375"/>
    </row>
    <row r="16" spans="2:19" x14ac:dyDescent="0.35">
      <c r="B16" s="230"/>
      <c r="C16" s="245" t="s">
        <v>191</v>
      </c>
      <c r="D16" s="230"/>
      <c r="E16" s="230"/>
      <c r="F16" s="300">
        <f>SUM(F10:F15)</f>
        <v>12189746</v>
      </c>
      <c r="G16" s="297">
        <f>F16/M10</f>
        <v>11.16531699993863</v>
      </c>
      <c r="H16" s="230"/>
      <c r="I16" s="244" t="s">
        <v>208</v>
      </c>
      <c r="J16" s="230"/>
      <c r="K16" s="230"/>
      <c r="M16" s="369">
        <v>0</v>
      </c>
      <c r="O16" s="263"/>
      <c r="P16" s="258" t="s">
        <v>220</v>
      </c>
      <c r="Q16" s="258" t="s">
        <v>221</v>
      </c>
      <c r="R16" s="258" t="s">
        <v>222</v>
      </c>
      <c r="S16" s="259" t="s">
        <v>223</v>
      </c>
    </row>
    <row r="17" spans="2:19" x14ac:dyDescent="0.35">
      <c r="B17" s="230"/>
      <c r="C17" s="246" t="s">
        <v>192</v>
      </c>
      <c r="D17" s="230"/>
      <c r="E17" s="230"/>
      <c r="F17" s="230"/>
      <c r="G17" s="302">
        <f>SUM(F9:F13)/M10</f>
        <v>4.3499999999999996</v>
      </c>
      <c r="H17" s="230"/>
      <c r="I17" s="245" t="s">
        <v>209</v>
      </c>
      <c r="J17" s="230"/>
      <c r="K17" s="230"/>
      <c r="M17" s="292">
        <f>M11+M13-M14</f>
        <v>10840407</v>
      </c>
      <c r="O17" s="243" t="s">
        <v>224</v>
      </c>
      <c r="P17" s="288">
        <v>200</v>
      </c>
      <c r="Q17" s="289">
        <v>6.98</v>
      </c>
      <c r="R17">
        <f ca="1">IF(Q17&gt;$S$12,0,P17)</f>
        <v>200</v>
      </c>
      <c r="S17" s="293">
        <f ca="1">R17*Q17</f>
        <v>1396</v>
      </c>
    </row>
    <row r="18" spans="2:19" x14ac:dyDescent="0.35">
      <c r="B18" s="230"/>
      <c r="C18" s="252" t="s">
        <v>193</v>
      </c>
      <c r="D18" s="253"/>
      <c r="E18" s="253"/>
      <c r="F18" s="253"/>
      <c r="G18" s="254"/>
      <c r="H18" s="230"/>
      <c r="I18" s="244"/>
      <c r="J18" s="230"/>
      <c r="K18" s="230"/>
      <c r="M18" s="248"/>
      <c r="O18" s="243" t="s">
        <v>225</v>
      </c>
      <c r="P18" s="288">
        <v>1000</v>
      </c>
      <c r="Q18" s="289">
        <v>110.82</v>
      </c>
      <c r="R18">
        <f t="shared" ref="R18:R19" ca="1" si="1">IF(Q18&gt;$S$12,0,P18)</f>
        <v>1000</v>
      </c>
      <c r="S18" s="293">
        <f t="shared" ref="S18:S19" ca="1" si="2">R18*Q18</f>
        <v>110820</v>
      </c>
    </row>
    <row r="19" spans="2:19" x14ac:dyDescent="0.35">
      <c r="B19" s="230"/>
      <c r="C19" s="244" t="s">
        <v>194</v>
      </c>
      <c r="D19" s="230"/>
      <c r="E19" s="230"/>
      <c r="F19" s="300"/>
      <c r="G19" s="301">
        <f>M17</f>
        <v>10840407</v>
      </c>
      <c r="H19" s="230"/>
      <c r="I19" s="245" t="s">
        <v>209</v>
      </c>
      <c r="J19" s="230"/>
      <c r="K19" s="230"/>
      <c r="M19" s="293">
        <f>M17</f>
        <v>10840407</v>
      </c>
      <c r="O19" s="243" t="s">
        <v>226</v>
      </c>
      <c r="P19" s="288">
        <v>2</v>
      </c>
      <c r="Q19" s="289">
        <v>148.72</v>
      </c>
      <c r="R19">
        <f t="shared" ca="1" si="1"/>
        <v>2</v>
      </c>
      <c r="S19" s="293">
        <f t="shared" ca="1" si="2"/>
        <v>297.44</v>
      </c>
    </row>
    <row r="20" spans="2:19" x14ac:dyDescent="0.35">
      <c r="C20" s="244" t="s">
        <v>195</v>
      </c>
      <c r="G20" s="290">
        <f>M14</f>
        <v>1349339</v>
      </c>
      <c r="I20" s="244" t="s">
        <v>210</v>
      </c>
      <c r="M20" s="285">
        <f ca="1">S11</f>
        <v>60406.040932677497</v>
      </c>
      <c r="O20" s="264" t="s">
        <v>227</v>
      </c>
      <c r="P20">
        <f>SUM(P17:P19)</f>
        <v>1202</v>
      </c>
      <c r="Q20" s="288"/>
      <c r="R20">
        <f ca="1">SUM(R17:R19)</f>
        <v>1202</v>
      </c>
      <c r="S20" s="293">
        <f ca="1">SUM(S17:S19)</f>
        <v>112513.44</v>
      </c>
    </row>
    <row r="21" spans="2:19" x14ac:dyDescent="0.35">
      <c r="C21" s="244" t="s">
        <v>196</v>
      </c>
      <c r="G21" s="366">
        <v>0</v>
      </c>
      <c r="I21" s="255" t="s">
        <v>211</v>
      </c>
      <c r="J21" s="241"/>
      <c r="K21" s="241"/>
      <c r="L21" s="241"/>
      <c r="M21" s="282">
        <f ca="1">M19/M20</f>
        <v>179.45898841610276</v>
      </c>
      <c r="O21" s="243"/>
      <c r="S21" s="248"/>
    </row>
    <row r="22" spans="2:19" x14ac:dyDescent="0.35">
      <c r="C22" s="255" t="s">
        <v>197</v>
      </c>
      <c r="D22" s="241"/>
      <c r="E22" s="241"/>
      <c r="F22" s="241"/>
      <c r="G22" s="295">
        <f>SUM(G19:G21)</f>
        <v>12189746</v>
      </c>
      <c r="O22" s="243" t="s">
        <v>228</v>
      </c>
      <c r="S22" s="248">
        <f ca="1">R20</f>
        <v>1202</v>
      </c>
    </row>
    <row r="23" spans="2:19" x14ac:dyDescent="0.35">
      <c r="C23" s="243"/>
      <c r="G23" s="248"/>
      <c r="I23" s="375" t="s">
        <v>212</v>
      </c>
      <c r="J23" s="375"/>
      <c r="K23" s="375"/>
      <c r="L23" s="375"/>
      <c r="M23" s="375"/>
      <c r="O23" s="243" t="s">
        <v>229</v>
      </c>
      <c r="S23" s="283">
        <f ca="1">S20/S12</f>
        <v>626.95906732250489</v>
      </c>
    </row>
    <row r="24" spans="2:19" x14ac:dyDescent="0.35">
      <c r="C24" s="247" t="s">
        <v>198</v>
      </c>
      <c r="D24" s="241"/>
      <c r="E24" s="241"/>
      <c r="F24" s="367">
        <v>0.01</v>
      </c>
      <c r="G24" s="295">
        <f>M13*F24</f>
        <v>1804.8500000000001</v>
      </c>
      <c r="I24" s="260" t="s">
        <v>213</v>
      </c>
      <c r="J24" s="258"/>
      <c r="K24" s="258"/>
      <c r="L24" s="258"/>
      <c r="M24" s="259"/>
      <c r="O24" s="262" t="s">
        <v>230</v>
      </c>
      <c r="P24" s="241"/>
      <c r="Q24" s="241"/>
      <c r="R24" s="241"/>
      <c r="S24" s="284">
        <f ca="1">S22-S23</f>
        <v>575.04093267749511</v>
      </c>
    </row>
    <row r="25" spans="2:19" x14ac:dyDescent="0.35">
      <c r="I25" s="243" t="s">
        <v>209</v>
      </c>
      <c r="M25" s="293">
        <f>M19</f>
        <v>10840407</v>
      </c>
    </row>
    <row r="26" spans="2:19" x14ac:dyDescent="0.35">
      <c r="I26" s="243" t="s">
        <v>214</v>
      </c>
      <c r="M26" s="368">
        <f>'Balance Sheet'!E50</f>
        <v>1835732</v>
      </c>
    </row>
    <row r="27" spans="2:19" x14ac:dyDescent="0.35">
      <c r="I27" s="261" t="s">
        <v>215</v>
      </c>
      <c r="M27" s="294">
        <f>M25-M26</f>
        <v>9004675</v>
      </c>
    </row>
    <row r="28" spans="2:19" x14ac:dyDescent="0.35">
      <c r="I28" s="243"/>
      <c r="M28" s="248"/>
    </row>
    <row r="29" spans="2:19" x14ac:dyDescent="0.35">
      <c r="I29" s="262"/>
      <c r="J29" s="241"/>
      <c r="K29" s="241"/>
      <c r="L29" s="241"/>
      <c r="M29" s="249"/>
    </row>
  </sheetData>
  <mergeCells count="5">
    <mergeCell ref="C7:G7"/>
    <mergeCell ref="I7:M7"/>
    <mergeCell ref="I23:M23"/>
    <mergeCell ref="O7:S7"/>
    <mergeCell ref="O15:S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vt:lpstr>
      <vt:lpstr>Op Model &gt;&gt;</vt:lpstr>
      <vt:lpstr>Income Statement</vt:lpstr>
      <vt:lpstr>Balance Sheet</vt:lpstr>
      <vt:lpstr>Statement of Cash Flows</vt:lpstr>
      <vt:lpstr>Debt Schedule</vt:lpstr>
      <vt:lpstr>Asset Schedule</vt:lpstr>
      <vt:lpstr>LBO Model &gt;&gt;&gt;</vt:lpstr>
      <vt:lpstr>Transaction Structure</vt:lpstr>
      <vt:lpstr>Pro Forma Income Statement</vt:lpstr>
      <vt:lpstr>Pro Forma Balance Sheet</vt:lpstr>
      <vt:lpstr>Pro Forma Cash Flow Statement</vt:lpstr>
      <vt:lpstr>Pro Forma Debt Schedule</vt:lpstr>
      <vt:lpstr>Returns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Mehta, Kalen S</dc:creator>
  <cp:keywords/>
  <dc:description/>
  <cp:lastModifiedBy>Ventura, Nicholas Grey</cp:lastModifiedBy>
  <cp:revision/>
  <dcterms:created xsi:type="dcterms:W3CDTF">2025-08-22T03:01:16Z</dcterms:created>
  <dcterms:modified xsi:type="dcterms:W3CDTF">2025-10-12T02:05:14Z</dcterms:modified>
  <cp:category/>
  <cp:contentStatus/>
</cp:coreProperties>
</file>